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1.INDEA\INDEA---intern\0016 INDEA-tool\"/>
    </mc:Choice>
  </mc:AlternateContent>
  <bookViews>
    <workbookView xWindow="120" yWindow="135" windowWidth="15480" windowHeight="11640"/>
  </bookViews>
  <sheets>
    <sheet name="INDEA - kostprijs 1 ton stoom" sheetId="2" r:id="rId1"/>
    <sheet name="stoomtabel" sheetId="3" r:id="rId2"/>
  </sheets>
  <definedNames>
    <definedName name="_xlnm.Print_Area" localSheetId="0">'INDEA - kostprijs 1 ton stoom'!$B$1:$D$124</definedName>
    <definedName name="_xlnm.Print_Area" localSheetId="1">stoomtabel!$A$1:$K$65</definedName>
    <definedName name="Afdrukbereik_MI" localSheetId="0">'INDEA - kostprijs 1 ton stoom'!$B$2:$D$106</definedName>
    <definedName name="_xlnm.Print_Titles" localSheetId="1">stoomtabel!$B:$H</definedName>
    <definedName name="stoomtabel">stoomtabel!$B$7:$K$65</definedName>
  </definedNames>
  <calcPr calcId="152511" fullCalcOnLoad="1"/>
</workbook>
</file>

<file path=xl/calcChain.xml><?xml version="1.0" encoding="utf-8"?>
<calcChain xmlns="http://schemas.openxmlformats.org/spreadsheetml/2006/main">
  <c r="C33" i="2" l="1"/>
  <c r="C31" i="2"/>
  <c r="C32" i="2"/>
  <c r="C69" i="2"/>
  <c r="C30" i="2"/>
  <c r="C85" i="2"/>
  <c r="C97" i="2"/>
  <c r="C103" i="2"/>
  <c r="C28" i="2"/>
  <c r="C77" i="2"/>
  <c r="C92" i="2"/>
  <c r="C76" i="2"/>
  <c r="C101" i="2"/>
  <c r="G7" i="3"/>
  <c r="H7" i="3"/>
  <c r="I7" i="3"/>
  <c r="D8" i="3"/>
  <c r="G8" i="3"/>
  <c r="E8" i="3"/>
  <c r="H8" i="3"/>
  <c r="F8" i="3"/>
  <c r="I8" i="3"/>
  <c r="G9" i="3"/>
  <c r="H9" i="3"/>
  <c r="I9" i="3"/>
  <c r="G10" i="3"/>
  <c r="H10" i="3"/>
  <c r="I10" i="3"/>
  <c r="G11" i="3"/>
  <c r="H11" i="3"/>
  <c r="I11" i="3"/>
  <c r="G12" i="3"/>
  <c r="H12" i="3"/>
  <c r="I12" i="3"/>
  <c r="G13" i="3"/>
  <c r="H13" i="3"/>
  <c r="I13" i="3"/>
  <c r="G14" i="3"/>
  <c r="H14" i="3"/>
  <c r="I14" i="3"/>
  <c r="G15" i="3"/>
  <c r="H15" i="3"/>
  <c r="I15" i="3"/>
  <c r="G16" i="3"/>
  <c r="H16" i="3"/>
  <c r="I16" i="3"/>
  <c r="G17" i="3"/>
  <c r="H17" i="3"/>
  <c r="I17" i="3"/>
  <c r="G18" i="3"/>
  <c r="H18" i="3"/>
  <c r="I18" i="3"/>
  <c r="G19" i="3"/>
  <c r="H19" i="3"/>
  <c r="I19" i="3"/>
  <c r="G20" i="3"/>
  <c r="H20" i="3"/>
  <c r="I20" i="3"/>
  <c r="G21" i="3"/>
  <c r="H21" i="3"/>
  <c r="I21" i="3"/>
  <c r="G22" i="3"/>
  <c r="H22" i="3"/>
  <c r="I22" i="3"/>
  <c r="G23" i="3"/>
  <c r="H23" i="3"/>
  <c r="I23" i="3"/>
  <c r="G24" i="3"/>
  <c r="H24" i="3"/>
  <c r="I24" i="3"/>
  <c r="G25" i="3"/>
  <c r="H25" i="3"/>
  <c r="I25" i="3"/>
  <c r="G26" i="3"/>
  <c r="H26" i="3"/>
  <c r="I26" i="3"/>
  <c r="G27" i="3"/>
  <c r="H27" i="3"/>
  <c r="I27" i="3"/>
  <c r="G28" i="3"/>
  <c r="H28" i="3"/>
  <c r="I28" i="3"/>
  <c r="G29" i="3"/>
  <c r="H29" i="3"/>
  <c r="I29" i="3"/>
  <c r="G30" i="3"/>
  <c r="H30" i="3"/>
  <c r="I30" i="3"/>
  <c r="G31" i="3"/>
  <c r="H31" i="3"/>
  <c r="I31" i="3"/>
  <c r="G32" i="3"/>
  <c r="H32" i="3"/>
  <c r="I32" i="3"/>
  <c r="G33" i="3"/>
  <c r="H33" i="3"/>
  <c r="I33" i="3"/>
  <c r="G34" i="3"/>
  <c r="H34" i="3"/>
  <c r="I34" i="3"/>
  <c r="G35" i="3"/>
  <c r="H35" i="3"/>
  <c r="I35" i="3"/>
  <c r="G36" i="3"/>
  <c r="H36" i="3"/>
  <c r="I36" i="3"/>
  <c r="G37" i="3"/>
  <c r="H37" i="3"/>
  <c r="I37" i="3"/>
  <c r="G38" i="3"/>
  <c r="H38" i="3"/>
  <c r="I38" i="3"/>
  <c r="G39" i="3"/>
  <c r="H39" i="3"/>
  <c r="I39" i="3"/>
  <c r="G40" i="3"/>
  <c r="H40" i="3"/>
  <c r="I40" i="3"/>
  <c r="G41" i="3"/>
  <c r="H41" i="3"/>
  <c r="I41" i="3"/>
  <c r="G42" i="3"/>
  <c r="H42" i="3"/>
  <c r="I42" i="3"/>
  <c r="G43" i="3"/>
  <c r="H43" i="3"/>
  <c r="I43" i="3"/>
  <c r="G44" i="3"/>
  <c r="H44" i="3"/>
  <c r="I44" i="3"/>
  <c r="G45" i="3"/>
  <c r="H45" i="3"/>
  <c r="I45" i="3"/>
  <c r="G46" i="3"/>
  <c r="H46" i="3"/>
  <c r="I46" i="3"/>
  <c r="G47" i="3"/>
  <c r="H47" i="3"/>
  <c r="I47" i="3"/>
  <c r="G48" i="3"/>
  <c r="H48" i="3"/>
  <c r="I48" i="3"/>
  <c r="G49" i="3"/>
  <c r="H49" i="3"/>
  <c r="I49" i="3"/>
  <c r="G50" i="3"/>
  <c r="H50" i="3"/>
  <c r="I50" i="3"/>
  <c r="G51" i="3"/>
  <c r="H51" i="3"/>
  <c r="I51" i="3"/>
  <c r="G52" i="3"/>
  <c r="H52" i="3"/>
  <c r="I52" i="3"/>
  <c r="G53" i="3"/>
  <c r="H53" i="3"/>
  <c r="I53" i="3"/>
  <c r="G54" i="3"/>
  <c r="H54" i="3"/>
  <c r="I54" i="3"/>
  <c r="G55" i="3"/>
  <c r="H55" i="3"/>
  <c r="I55" i="3"/>
  <c r="G56" i="3"/>
  <c r="H56" i="3"/>
  <c r="I56" i="3"/>
  <c r="G57" i="3"/>
  <c r="H57" i="3"/>
  <c r="I57" i="3"/>
  <c r="G58" i="3"/>
  <c r="H58" i="3"/>
  <c r="I58" i="3"/>
  <c r="G59" i="3"/>
  <c r="H59" i="3"/>
  <c r="I59" i="3"/>
  <c r="G60" i="3"/>
  <c r="H60" i="3"/>
  <c r="I60" i="3"/>
  <c r="G61" i="3"/>
  <c r="H61" i="3"/>
  <c r="I61" i="3"/>
  <c r="G62" i="3"/>
  <c r="H62" i="3"/>
  <c r="I62" i="3"/>
  <c r="G63" i="3"/>
  <c r="H63" i="3"/>
  <c r="I63" i="3"/>
  <c r="G64" i="3"/>
  <c r="H64" i="3"/>
  <c r="I64" i="3"/>
  <c r="G65" i="3"/>
  <c r="H65" i="3"/>
  <c r="I65" i="3"/>
  <c r="C98" i="2"/>
  <c r="C79" i="2"/>
  <c r="C68" i="2"/>
  <c r="C72" i="2"/>
  <c r="C93" i="2"/>
  <c r="C70" i="2"/>
  <c r="C81" i="2"/>
  <c r="C95" i="2"/>
  <c r="C83" i="2"/>
  <c r="C96" i="2"/>
  <c r="C99" i="2"/>
  <c r="C106" i="2"/>
  <c r="C94" i="2"/>
</calcChain>
</file>

<file path=xl/sharedStrings.xml><?xml version="1.0" encoding="utf-8"?>
<sst xmlns="http://schemas.openxmlformats.org/spreadsheetml/2006/main" count="142" uniqueCount="98">
  <si>
    <t>kW</t>
  </si>
  <si>
    <t>€</t>
  </si>
  <si>
    <t>Stoom werkdruk</t>
  </si>
  <si>
    <t>jaar</t>
  </si>
  <si>
    <t>%</t>
  </si>
  <si>
    <t>€/MWh</t>
  </si>
  <si>
    <t>Prijs elektriciteit</t>
  </si>
  <si>
    <t>Temperatuur suppletiewater</t>
  </si>
  <si>
    <t>°C</t>
  </si>
  <si>
    <t>€/m³</t>
  </si>
  <si>
    <t>Prijs afvalwater</t>
  </si>
  <si>
    <t>€/kg</t>
  </si>
  <si>
    <t>kJ/kg</t>
  </si>
  <si>
    <t>Temperatuur voedingswater</t>
  </si>
  <si>
    <t>microS/cm</t>
  </si>
  <si>
    <t>Verbruik van chemische producten</t>
  </si>
  <si>
    <t>g</t>
  </si>
  <si>
    <t xml:space="preserve"> °D</t>
  </si>
  <si>
    <t>l</t>
  </si>
  <si>
    <t>kWh</t>
  </si>
  <si>
    <t xml:space="preserve"> Opstartkosten ketels</t>
  </si>
  <si>
    <t xml:space="preserve"> Kost afvalwater</t>
  </si>
  <si>
    <t xml:space="preserve">    </t>
  </si>
  <si>
    <t xml:space="preserve">  </t>
  </si>
  <si>
    <t xml:space="preserve"> </t>
  </si>
  <si>
    <t>STOOMTABEL  VERZADIGDE  STOOM</t>
  </si>
  <si>
    <t xml:space="preserve"> enth. in kJ</t>
  </si>
  <si>
    <t>enth. in kcal</t>
  </si>
  <si>
    <t>INDEA bvba</t>
  </si>
  <si>
    <t>valerie.degroote@indea.be</t>
  </si>
  <si>
    <t>M: 0479 / 239 009</t>
  </si>
  <si>
    <t>Geïnstalleerd vermogen</t>
  </si>
  <si>
    <t>Aantal werkuren per jaar</t>
  </si>
  <si>
    <t>Gemiddelde stoomproductie</t>
  </si>
  <si>
    <t>Geïnstalleerd elektrisch vermogen</t>
  </si>
  <si>
    <t>Prijs van compleet ketelhuis</t>
  </si>
  <si>
    <t>Enthalpie van de stoom</t>
  </si>
  <si>
    <t>Enthalpie suppletiewater</t>
  </si>
  <si>
    <t>Enthalpie voedingswater</t>
  </si>
  <si>
    <t>Enthalpie  verzadigd water</t>
  </si>
  <si>
    <t xml:space="preserve">Prijs aardgas                   </t>
  </si>
  <si>
    <t>Prijs water</t>
  </si>
  <si>
    <t>Prijs chemische producten</t>
  </si>
  <si>
    <t>Prijs zout voor ontharder</t>
  </si>
  <si>
    <t>Rendement bij gemiddelde belasting</t>
  </si>
  <si>
    <t>Jaarlijkse onderhoudskost tov investering</t>
  </si>
  <si>
    <t>Verbruik van zouten</t>
  </si>
  <si>
    <t>Aantal starts per jaar</t>
  </si>
  <si>
    <t xml:space="preserve"> Kost brandstof</t>
  </si>
  <si>
    <t xml:space="preserve"> Kost water</t>
  </si>
  <si>
    <t xml:space="preserve"> Kost chemische producten</t>
  </si>
  <si>
    <t xml:space="preserve"> Kost zouten</t>
  </si>
  <si>
    <t xml:space="preserve"> Kost elektriciteit</t>
  </si>
  <si>
    <t xml:space="preserve"> Onderhoudskosten</t>
  </si>
  <si>
    <t xml:space="preserve"> TOTAAL</t>
  </si>
  <si>
    <t>Geleidbaarheid van suppletiewater</t>
  </si>
  <si>
    <t>Geleidbaarheid van ketelwater</t>
  </si>
  <si>
    <t>Hoeveelheid verloren stoom</t>
  </si>
  <si>
    <t>Gegevens - Technisch</t>
  </si>
  <si>
    <t>Gegevens - Financieel</t>
  </si>
  <si>
    <t>Productiekost van 1 ton stoom - AARDGAS</t>
  </si>
  <si>
    <t>Gegevens - Onderhoud</t>
  </si>
  <si>
    <t>Gegevens - Waterbehandeling</t>
  </si>
  <si>
    <t>Verbruik van chemische producten per 1000 l suppletiewater</t>
  </si>
  <si>
    <t>Hardheid van het water</t>
  </si>
  <si>
    <t>g/m3.°D</t>
  </si>
  <si>
    <t>Brandstofverbruik</t>
  </si>
  <si>
    <t>- voor stoomproductie</t>
  </si>
  <si>
    <t>- voor opwarming suppletiewater</t>
  </si>
  <si>
    <t>- voor compensatie spuiverliezen</t>
  </si>
  <si>
    <t>TOTAAL brandstofverbruik</t>
  </si>
  <si>
    <t>Waterverbruik</t>
  </si>
  <si>
    <t>- voor compensatie verloren stoom</t>
  </si>
  <si>
    <t>TOTAAL waterverbruik</t>
  </si>
  <si>
    <t>Elektrisch verbruik (voedingspomp - ventilator)</t>
  </si>
  <si>
    <t>Gegevens</t>
  </si>
  <si>
    <t>Kost voor productie van 1 ton stoom</t>
  </si>
  <si>
    <t xml:space="preserve"> Afschrijving van de investering (15 jaar)</t>
  </si>
  <si>
    <t>www.indea.be</t>
  </si>
  <si>
    <t>ton/h</t>
  </si>
  <si>
    <t>Behoeften voor productie van 1 ton stoom</t>
  </si>
  <si>
    <t>Afschrijvingstermijn</t>
  </si>
  <si>
    <t>h/jaar</t>
  </si>
  <si>
    <t>bar (g)</t>
  </si>
  <si>
    <t>bar g</t>
  </si>
  <si>
    <t>kcal/kg</t>
  </si>
  <si>
    <t xml:space="preserve">   spec. volume </t>
  </si>
  <si>
    <t>m3/kg</t>
  </si>
  <si>
    <t>stoom</t>
  </si>
  <si>
    <t>water</t>
  </si>
  <si>
    <t>totaal</t>
  </si>
  <si>
    <t>verdamp</t>
  </si>
  <si>
    <t>temp</t>
  </si>
  <si>
    <t>druk</t>
  </si>
  <si>
    <t xml:space="preserve"> Marginale kost per ton</t>
  </si>
  <si>
    <t>Spui t.o.v. de stoomproductie</t>
  </si>
  <si>
    <t>Spaarzaamheidstraat 2A</t>
  </si>
  <si>
    <t>9300 Aalst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</si>
</sst>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3" formatCode="_-* #,##0.00\ _€_-;\-* #,##0.00\ _€_-;_-* &quot;-&quot;??\ _€_-;_-@_-"/>
    <numFmt numFmtId="191" formatCode="0.0_)"/>
    <numFmt numFmtId="193" formatCode="0.00_)"/>
    <numFmt numFmtId="194" formatCode="0.000_)"/>
    <numFmt numFmtId="195" formatCode="0.0000_)"/>
    <numFmt numFmtId="196" formatCode="0.000000_)"/>
    <numFmt numFmtId="198" formatCode="_-* #,##0.00\ [$€]_-;\-* #,##0.00\ [$€]_-;_-* &quot;-&quot;??\ [$€]_-;_-@_-"/>
    <numFmt numFmtId="199" formatCode="0_)"/>
    <numFmt numFmtId="205" formatCode="_-* #,##0.0\ _€_-;\-* #,##0.0\ _€_-;_-* &quot;-&quot;??\ _€_-;_-@_-"/>
    <numFmt numFmtId="206" formatCode="_-* #,##0\ _€_-;\-* #,##0\ _€_-;_-* &quot;-&quot;??\ _€_-;_-@_-"/>
    <numFmt numFmtId="207" formatCode="_-* #,##0.000\ _€_-;\-* #,##0.000\ _€_-;_-* &quot;-&quot;??\ _€_-;_-@_-"/>
  </numFmts>
  <fonts count="12" x14ac:knownFonts="1">
    <font>
      <sz val="10"/>
      <name val="Arial"/>
    </font>
    <font>
      <sz val="10"/>
      <name val="Arial"/>
    </font>
    <font>
      <u/>
      <sz val="10"/>
      <color indexed="12"/>
      <name val="Arial"/>
      <family val="2"/>
    </font>
    <font>
      <sz val="10"/>
      <name val="Helv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u/>
      <sz val="10"/>
      <color indexed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indexed="18"/>
      <name val="Calibri"/>
      <family val="2"/>
      <scheme val="minor"/>
    </font>
    <font>
      <sz val="10"/>
      <color indexed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</fills>
  <borders count="9">
    <border>
      <left/>
      <right/>
      <top/>
      <bottom/>
      <diagonal/>
    </border>
    <border>
      <left style="thick">
        <color indexed="50"/>
      </left>
      <right/>
      <top style="thick">
        <color indexed="50"/>
      </top>
      <bottom/>
      <diagonal/>
    </border>
    <border>
      <left/>
      <right/>
      <top style="thick">
        <color indexed="50"/>
      </top>
      <bottom/>
      <diagonal/>
    </border>
    <border>
      <left/>
      <right style="thick">
        <color indexed="50"/>
      </right>
      <top style="thick">
        <color indexed="50"/>
      </top>
      <bottom/>
      <diagonal/>
    </border>
    <border>
      <left style="thick">
        <color indexed="50"/>
      </left>
      <right/>
      <top/>
      <bottom/>
      <diagonal/>
    </border>
    <border>
      <left/>
      <right style="thick">
        <color indexed="50"/>
      </right>
      <top/>
      <bottom/>
      <diagonal/>
    </border>
    <border>
      <left style="thick">
        <color indexed="50"/>
      </left>
      <right/>
      <top/>
      <bottom style="thick">
        <color indexed="50"/>
      </bottom>
      <diagonal/>
    </border>
    <border>
      <left/>
      <right/>
      <top/>
      <bottom style="thick">
        <color indexed="50"/>
      </bottom>
      <diagonal/>
    </border>
    <border>
      <left/>
      <right style="thick">
        <color indexed="50"/>
      </right>
      <top/>
      <bottom style="thick">
        <color indexed="50"/>
      </bottom>
      <diagonal/>
    </border>
  </borders>
  <cellStyleXfs count="5">
    <xf numFmtId="0" fontId="0" fillId="0" borderId="0"/>
    <xf numFmtId="198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43" fontId="1" fillId="0" borderId="0" applyFont="0" applyFill="0" applyBorder="0" applyAlignment="0" applyProtection="0"/>
    <xf numFmtId="0" fontId="3" fillId="0" borderId="0"/>
  </cellStyleXfs>
  <cellXfs count="71">
    <xf numFmtId="0" fontId="0" fillId="0" borderId="0" xfId="0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5" fillId="0" borderId="0" xfId="0" applyFont="1" applyBorder="1"/>
    <xf numFmtId="206" fontId="4" fillId="3" borderId="0" xfId="3" applyNumberFormat="1" applyFont="1" applyFill="1" applyBorder="1" applyProtection="1">
      <protection locked="0"/>
    </xf>
    <xf numFmtId="206" fontId="4" fillId="0" borderId="0" xfId="0" applyNumberFormat="1" applyFont="1" applyBorder="1"/>
    <xf numFmtId="43" fontId="4" fillId="0" borderId="0" xfId="0" applyNumberFormat="1" applyFont="1" applyBorder="1"/>
    <xf numFmtId="0" fontId="4" fillId="0" borderId="0" xfId="0" applyFont="1" applyFill="1" applyBorder="1"/>
    <xf numFmtId="207" fontId="4" fillId="0" borderId="0" xfId="0" applyNumberFormat="1" applyFont="1" applyBorder="1"/>
    <xf numFmtId="0" fontId="4" fillId="0" borderId="0" xfId="0" applyFont="1" applyBorder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Protection="1">
      <protection locked="0"/>
    </xf>
    <xf numFmtId="3" fontId="4" fillId="0" borderId="0" xfId="0" applyNumberFormat="1" applyFont="1" applyFill="1" applyBorder="1" applyProtection="1">
      <protection locked="0"/>
    </xf>
    <xf numFmtId="0" fontId="4" fillId="0" borderId="0" xfId="0" applyFont="1" applyFill="1" applyBorder="1" applyAlignment="1">
      <alignment horizontal="center"/>
    </xf>
    <xf numFmtId="43" fontId="4" fillId="3" borderId="0" xfId="3" applyFont="1" applyFill="1" applyBorder="1" applyProtection="1">
      <protection locked="0"/>
    </xf>
    <xf numFmtId="43" fontId="4" fillId="0" borderId="0" xfId="3" applyFont="1" applyBorder="1" applyProtection="1"/>
    <xf numFmtId="206" fontId="4" fillId="0" borderId="0" xfId="3" applyNumberFormat="1" applyFont="1" applyBorder="1" applyProtection="1">
      <protection locked="0"/>
    </xf>
    <xf numFmtId="206" fontId="4" fillId="0" borderId="0" xfId="3" applyNumberFormat="1" applyFont="1" applyFill="1" applyBorder="1" applyProtection="1">
      <protection locked="0"/>
    </xf>
    <xf numFmtId="37" fontId="4" fillId="0" borderId="0" xfId="0" applyNumberFormat="1" applyFont="1" applyBorder="1" applyProtection="1">
      <protection locked="0"/>
    </xf>
    <xf numFmtId="37" fontId="4" fillId="0" borderId="0" xfId="0" applyNumberFormat="1" applyFont="1" applyFill="1" applyBorder="1" applyAlignment="1" applyProtection="1">
      <alignment horizontal="center"/>
    </xf>
    <xf numFmtId="205" fontId="4" fillId="3" borderId="0" xfId="3" applyNumberFormat="1" applyFont="1" applyFill="1" applyBorder="1" applyProtection="1">
      <protection locked="0"/>
    </xf>
    <xf numFmtId="191" fontId="4" fillId="0" borderId="0" xfId="0" applyNumberFormat="1" applyFont="1" applyFill="1" applyBorder="1" applyProtection="1">
      <protection locked="0"/>
    </xf>
    <xf numFmtId="0" fontId="4" fillId="0" borderId="0" xfId="0" quotePrefix="1" applyFont="1" applyBorder="1"/>
    <xf numFmtId="193" fontId="4" fillId="0" borderId="0" xfId="0" applyNumberFormat="1" applyFont="1" applyBorder="1" applyAlignment="1" applyProtection="1">
      <alignment horizontal="center"/>
    </xf>
    <xf numFmtId="0" fontId="5" fillId="0" borderId="0" xfId="0" applyFont="1" applyFill="1" applyBorder="1"/>
    <xf numFmtId="43" fontId="5" fillId="0" borderId="0" xfId="3" applyFont="1" applyBorder="1" applyProtection="1"/>
    <xf numFmtId="193" fontId="5" fillId="0" borderId="0" xfId="0" applyNumberFormat="1" applyFont="1" applyBorder="1" applyAlignment="1" applyProtection="1">
      <alignment horizontal="center"/>
    </xf>
    <xf numFmtId="193" fontId="4" fillId="0" borderId="0" xfId="0" applyNumberFormat="1" applyFont="1" applyBorder="1" applyProtection="1"/>
    <xf numFmtId="206" fontId="4" fillId="0" borderId="0" xfId="3" applyNumberFormat="1" applyFont="1" applyFill="1" applyBorder="1" applyProtection="1"/>
    <xf numFmtId="206" fontId="4" fillId="0" borderId="0" xfId="3" applyNumberFormat="1" applyFont="1" applyBorder="1" applyProtection="1"/>
    <xf numFmtId="199" fontId="4" fillId="0" borderId="0" xfId="0" applyNumberFormat="1" applyFont="1" applyBorder="1" applyAlignment="1" applyProtection="1">
      <alignment horizontal="center"/>
    </xf>
    <xf numFmtId="199" fontId="4" fillId="0" borderId="0" xfId="0" applyNumberFormat="1" applyFont="1" applyBorder="1" applyProtection="1"/>
    <xf numFmtId="206" fontId="5" fillId="0" borderId="0" xfId="3" applyNumberFormat="1" applyFont="1" applyBorder="1" applyProtection="1"/>
    <xf numFmtId="199" fontId="5" fillId="0" borderId="0" xfId="0" applyNumberFormat="1" applyFont="1" applyBorder="1" applyAlignment="1" applyProtection="1">
      <alignment horizontal="center"/>
    </xf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/>
    <xf numFmtId="43" fontId="4" fillId="0" borderId="0" xfId="3" applyFont="1" applyFill="1" applyBorder="1" applyProtection="1"/>
    <xf numFmtId="0" fontId="5" fillId="0" borderId="5" xfId="0" applyFont="1" applyBorder="1" applyAlignment="1">
      <alignment horizontal="center"/>
    </xf>
    <xf numFmtId="191" fontId="4" fillId="0" borderId="5" xfId="0" applyNumberFormat="1" applyFont="1" applyBorder="1" applyAlignment="1" applyProtection="1">
      <alignment horizontal="center"/>
    </xf>
    <xf numFmtId="191" fontId="5" fillId="0" borderId="5" xfId="0" applyNumberFormat="1" applyFont="1" applyBorder="1" applyAlignment="1" applyProtection="1">
      <alignment horizontal="center"/>
    </xf>
    <xf numFmtId="0" fontId="5" fillId="0" borderId="4" xfId="0" applyFont="1" applyBorder="1"/>
    <xf numFmtId="43" fontId="5" fillId="0" borderId="0" xfId="3" applyFont="1" applyFill="1" applyBorder="1" applyProtection="1"/>
    <xf numFmtId="191" fontId="4" fillId="0" borderId="0" xfId="0" applyNumberFormat="1" applyFont="1" applyBorder="1" applyProtection="1"/>
    <xf numFmtId="191" fontId="4" fillId="0" borderId="2" xfId="0" applyNumberFormat="1" applyFont="1" applyBorder="1" applyProtection="1"/>
    <xf numFmtId="191" fontId="4" fillId="0" borderId="3" xfId="0" applyNumberFormat="1" applyFont="1" applyBorder="1" applyAlignment="1" applyProtection="1">
      <alignment horizontal="center"/>
    </xf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6" fillId="0" borderId="0" xfId="2" applyFont="1" applyFill="1" applyBorder="1" applyAlignment="1" applyProtection="1"/>
    <xf numFmtId="0" fontId="7" fillId="0" borderId="0" xfId="2" applyFont="1" applyFill="1" applyBorder="1" applyAlignment="1" applyProtection="1"/>
    <xf numFmtId="0" fontId="4" fillId="0" borderId="0" xfId="4" applyFont="1" applyProtection="1"/>
    <xf numFmtId="0" fontId="4" fillId="0" borderId="0" xfId="4" applyFont="1" applyAlignment="1" applyProtection="1">
      <alignment horizontal="center"/>
    </xf>
    <xf numFmtId="0" fontId="11" fillId="0" borderId="0" xfId="4" applyFont="1" applyAlignment="1" applyProtection="1">
      <alignment horizontal="center"/>
    </xf>
    <xf numFmtId="191" fontId="4" fillId="0" borderId="0" xfId="4" applyNumberFormat="1" applyFont="1" applyAlignment="1" applyProtection="1">
      <alignment horizontal="left"/>
    </xf>
    <xf numFmtId="193" fontId="4" fillId="0" borderId="0" xfId="4" applyNumberFormat="1" applyFont="1" applyProtection="1"/>
    <xf numFmtId="191" fontId="4" fillId="0" borderId="0" xfId="4" applyNumberFormat="1" applyFont="1" applyProtection="1"/>
    <xf numFmtId="196" fontId="4" fillId="0" borderId="0" xfId="4" applyNumberFormat="1" applyFont="1" applyProtection="1"/>
    <xf numFmtId="195" fontId="4" fillId="0" borderId="0" xfId="4" applyNumberFormat="1" applyFont="1" applyProtection="1"/>
    <xf numFmtId="0" fontId="4" fillId="0" borderId="0" xfId="4" applyFont="1" applyAlignment="1" applyProtection="1">
      <alignment horizontal="left"/>
    </xf>
    <xf numFmtId="0" fontId="4" fillId="0" borderId="0" xfId="4" applyFont="1" applyAlignment="1">
      <alignment horizontal="left"/>
    </xf>
    <xf numFmtId="0" fontId="4" fillId="0" borderId="0" xfId="4" applyFont="1"/>
    <xf numFmtId="194" fontId="4" fillId="0" borderId="0" xfId="4" applyNumberFormat="1" applyFont="1" applyProtection="1"/>
    <xf numFmtId="0" fontId="8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4" fillId="0" borderId="0" xfId="4" applyFont="1" applyAlignment="1" applyProtection="1">
      <alignment horizontal="center"/>
    </xf>
    <xf numFmtId="0" fontId="10" fillId="0" borderId="0" xfId="4" applyFont="1" applyAlignment="1" applyProtection="1">
      <alignment horizontal="center"/>
    </xf>
  </cellXfs>
  <cellStyles count="5">
    <cellStyle name="Euro" xfId="1"/>
    <cellStyle name="Hyperlink" xfId="2" builtinId="8"/>
    <cellStyle name="Komma" xfId="3" builtinId="3"/>
    <cellStyle name="Standaard" xfId="0" builtinId="0"/>
    <cellStyle name="Standaard_BEREKENING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121</xdr:row>
      <xdr:rowOff>9525</xdr:rowOff>
    </xdr:from>
    <xdr:to>
      <xdr:col>1</xdr:col>
      <xdr:colOff>1209675</xdr:colOff>
      <xdr:row>123</xdr:row>
      <xdr:rowOff>114300</xdr:rowOff>
    </xdr:to>
    <xdr:pic>
      <xdr:nvPicPr>
        <xdr:cNvPr id="1180" name="Picture 30" descr="logo_indea_cmyk 25%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7935575"/>
          <a:ext cx="11715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809625</xdr:colOff>
      <xdr:row>109</xdr:row>
      <xdr:rowOff>9525</xdr:rowOff>
    </xdr:from>
    <xdr:to>
      <xdr:col>3</xdr:col>
      <xdr:colOff>914400</xdr:colOff>
      <xdr:row>123</xdr:row>
      <xdr:rowOff>104775</xdr:rowOff>
    </xdr:to>
    <xdr:sp macro="" textlink="">
      <xdr:nvSpPr>
        <xdr:cNvPr id="1181" name="Rectangle 31"/>
        <xdr:cNvSpPr>
          <a:spLocks noChangeArrowheads="1"/>
        </xdr:cNvSpPr>
      </xdr:nvSpPr>
      <xdr:spPr bwMode="auto">
        <a:xfrm>
          <a:off x="5791200" y="15992475"/>
          <a:ext cx="104775" cy="2362200"/>
        </a:xfrm>
        <a:prstGeom prst="rect">
          <a:avLst/>
        </a:prstGeom>
        <a:solidFill>
          <a:srgbClr val="99CC00"/>
        </a:solidFill>
        <a:ln w="9525">
          <a:solidFill>
            <a:srgbClr val="99CC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121920</xdr:colOff>
      <xdr:row>109</xdr:row>
      <xdr:rowOff>121920</xdr:rowOff>
    </xdr:from>
    <xdr:to>
      <xdr:col>1</xdr:col>
      <xdr:colOff>3404089</xdr:colOff>
      <xdr:row>120</xdr:row>
      <xdr:rowOff>9536</xdr:rowOff>
    </xdr:to>
    <xdr:sp macro="" textlink="">
      <xdr:nvSpPr>
        <xdr:cNvPr id="1056" name="Text Box 32"/>
        <xdr:cNvSpPr txBox="1">
          <a:spLocks noChangeArrowheads="1"/>
        </xdr:cNvSpPr>
      </xdr:nvSpPr>
      <xdr:spPr bwMode="auto">
        <a:xfrm>
          <a:off x="361950" y="16373475"/>
          <a:ext cx="3276600" cy="16668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nl-BE" sz="1000">
            <a:effectLst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nl-NL" sz="1000">
              <a:effectLst/>
              <a:latin typeface="+mn-lt"/>
              <a:ea typeface="+mn-ea"/>
              <a:cs typeface="+mn-cs"/>
            </a:rPr>
            <a:t>Indea biedt jou deze rekentool gratis aan. Wil je een simulatie op maat met een scenariovergelijking ketels - waterbehandeling - WKK - alternatieve brandstoffen? Geef ons een vrijblijvend seintje via 0479 239 009 of </a:t>
          </a:r>
          <a:r>
            <a:rPr lang="nl-NL" sz="1000" u="sng">
              <a:effectLst/>
              <a:latin typeface="+mn-lt"/>
              <a:ea typeface="+mn-ea"/>
              <a:cs typeface="+mn-cs"/>
            </a:rPr>
            <a:t>via e-mail</a:t>
          </a:r>
          <a:r>
            <a:rPr lang="nl-NL" sz="1000">
              <a:effectLst/>
              <a:latin typeface="+mn-lt"/>
              <a:ea typeface="+mn-ea"/>
              <a:cs typeface="+mn-cs"/>
            </a:rPr>
            <a:t>.</a:t>
          </a:r>
          <a:endParaRPr lang="nl-BE" sz="1000">
            <a:effectLst/>
            <a:latin typeface="+mn-lt"/>
            <a:ea typeface="+mn-ea"/>
            <a:cs typeface="+mn-cs"/>
          </a:endParaRPr>
        </a:p>
        <a:p>
          <a:endParaRPr lang="nl-NL" sz="900">
            <a:effectLst/>
            <a:latin typeface="+mn-lt"/>
            <a:ea typeface="+mn-ea"/>
            <a:cs typeface="+mn-cs"/>
          </a:endParaRPr>
        </a:p>
        <a:p>
          <a:r>
            <a:rPr lang="nl-NL" sz="900">
              <a:effectLst/>
              <a:latin typeface="+mn-lt"/>
              <a:ea typeface="+mn-ea"/>
              <a:cs typeface="+mn-cs"/>
            </a:rPr>
            <a:t>Disclaimer: Gebruik en reproductie toegestaan mits bronvermelding. Je kan Indea niet verantwoordelijk stellen voor gevolgen voortvloeiend uit het gebruik van deze tool.</a:t>
          </a:r>
          <a:endParaRPr lang="nl-BE" sz="700">
            <a:effectLst/>
          </a:endParaRPr>
        </a:p>
      </xdr:txBody>
    </xdr:sp>
    <xdr:clientData/>
  </xdr:twoCellAnchor>
  <xdr:twoCellAnchor editAs="oneCell">
    <xdr:from>
      <xdr:col>1</xdr:col>
      <xdr:colOff>38100</xdr:colOff>
      <xdr:row>59</xdr:row>
      <xdr:rowOff>9525</xdr:rowOff>
    </xdr:from>
    <xdr:to>
      <xdr:col>1</xdr:col>
      <xdr:colOff>1209675</xdr:colOff>
      <xdr:row>61</xdr:row>
      <xdr:rowOff>114300</xdr:rowOff>
    </xdr:to>
    <xdr:pic>
      <xdr:nvPicPr>
        <xdr:cNvPr id="1183" name="Picture 34" descr="logo_indea_cmyk 25%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8686800"/>
          <a:ext cx="11715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1428750</xdr:colOff>
      <xdr:row>122</xdr:row>
      <xdr:rowOff>104775</xdr:rowOff>
    </xdr:from>
    <xdr:to>
      <xdr:col>3</xdr:col>
      <xdr:colOff>360030</xdr:colOff>
      <xdr:row>123</xdr:row>
      <xdr:rowOff>150643</xdr:rowOff>
    </xdr:to>
    <xdr:sp macro="" textlink="">
      <xdr:nvSpPr>
        <xdr:cNvPr id="1059" name="Text Box 35"/>
        <xdr:cNvSpPr txBox="1">
          <a:spLocks noChangeArrowheads="1"/>
        </xdr:cNvSpPr>
      </xdr:nvSpPr>
      <xdr:spPr bwMode="auto">
        <a:xfrm>
          <a:off x="1666875" y="18459450"/>
          <a:ext cx="3676650" cy="2095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nl-BE" sz="1200" b="1" i="0" strike="noStrike">
              <a:solidFill>
                <a:srgbClr val="99CC00"/>
              </a:solidFill>
              <a:latin typeface="+mn-lt"/>
              <a:cs typeface="Arial"/>
            </a:rPr>
            <a:t>Ondersteunt industriële energiemanagers</a:t>
          </a:r>
        </a:p>
      </xdr:txBody>
    </xdr:sp>
    <xdr:clientData/>
  </xdr:twoCellAnchor>
  <xdr:twoCellAnchor>
    <xdr:from>
      <xdr:col>1</xdr:col>
      <xdr:colOff>1428750</xdr:colOff>
      <xdr:row>60</xdr:row>
      <xdr:rowOff>104775</xdr:rowOff>
    </xdr:from>
    <xdr:to>
      <xdr:col>3</xdr:col>
      <xdr:colOff>360030</xdr:colOff>
      <xdr:row>61</xdr:row>
      <xdr:rowOff>150643</xdr:rowOff>
    </xdr:to>
    <xdr:sp macro="" textlink="">
      <xdr:nvSpPr>
        <xdr:cNvPr id="1060" name="Text Box 36"/>
        <xdr:cNvSpPr txBox="1">
          <a:spLocks noChangeArrowheads="1"/>
        </xdr:cNvSpPr>
      </xdr:nvSpPr>
      <xdr:spPr bwMode="auto">
        <a:xfrm>
          <a:off x="1666875" y="9048750"/>
          <a:ext cx="3676650" cy="2095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nl-BE" sz="1200" b="1" i="0" strike="noStrike">
              <a:solidFill>
                <a:srgbClr val="99CC00"/>
              </a:solidFill>
              <a:latin typeface="+mn-lt"/>
              <a:cs typeface="Arial"/>
            </a:rPr>
            <a:t>Ondersteunt</a:t>
          </a:r>
          <a:r>
            <a:rPr lang="nl-BE" sz="1200" b="1" i="0" strike="noStrike" baseline="0">
              <a:solidFill>
                <a:srgbClr val="99CC00"/>
              </a:solidFill>
              <a:latin typeface="+mn-lt"/>
              <a:cs typeface="Arial"/>
            </a:rPr>
            <a:t> industriële energiemanagers</a:t>
          </a:r>
          <a:endParaRPr lang="nl-BE" sz="1200" b="1" i="0" strike="noStrike">
            <a:solidFill>
              <a:srgbClr val="99CC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1</xdr:col>
      <xdr:colOff>9525</xdr:colOff>
      <xdr:row>3</xdr:row>
      <xdr:rowOff>0</xdr:rowOff>
    </xdr:from>
    <xdr:to>
      <xdr:col>4</xdr:col>
      <xdr:colOff>0</xdr:colOff>
      <xdr:row>7</xdr:row>
      <xdr:rowOff>0</xdr:rowOff>
    </xdr:to>
    <xdr:sp macro="" textlink="">
      <xdr:nvSpPr>
        <xdr:cNvPr id="1061" name="Text Box 37"/>
        <xdr:cNvSpPr txBox="1">
          <a:spLocks noChangeArrowheads="1"/>
        </xdr:cNvSpPr>
      </xdr:nvSpPr>
      <xdr:spPr bwMode="auto">
        <a:xfrm>
          <a:off x="247650" y="485775"/>
          <a:ext cx="5772150" cy="7524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r>
            <a:rPr lang="nl-NL" sz="1100">
              <a:effectLst/>
              <a:latin typeface="+mn-lt"/>
              <a:ea typeface="+mn-ea"/>
              <a:cs typeface="+mn-cs"/>
            </a:rPr>
            <a:t>Vul de groene cellen in volgens de specificaties van je stoominstallatie. Het kader op pagina 2 toont dan de kosten voor brandstof, water, producten, elektriciteit en afschrijving per geproduceerde ton stoom. </a:t>
          </a:r>
          <a:endParaRPr lang="nl-BE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indea.be/" TargetMode="External"/><Relationship Id="rId1" Type="http://schemas.openxmlformats.org/officeDocument/2006/relationships/hyperlink" Target="mailto:valerie.degroote@indea.be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B2:I125"/>
  <sheetViews>
    <sheetView tabSelected="1" defaultGridColor="0" colorId="22" zoomScaleNormal="100" workbookViewId="0">
      <selection activeCell="H67" sqref="H67"/>
    </sheetView>
  </sheetViews>
  <sheetFormatPr defaultColWidth="9.7109375" defaultRowHeight="12.75" x14ac:dyDescent="0.2"/>
  <cols>
    <col min="1" max="1" width="3.5703125" style="1" customWidth="1"/>
    <col min="2" max="2" width="55.5703125" style="1" customWidth="1"/>
    <col min="3" max="3" width="15.5703125" style="1" customWidth="1"/>
    <col min="4" max="4" width="15.5703125" style="2" customWidth="1"/>
    <col min="5" max="5" width="9.7109375" style="1"/>
    <col min="6" max="6" width="18.85546875" style="1" bestFit="1" customWidth="1"/>
    <col min="7" max="7" width="13.42578125" style="1" bestFit="1" customWidth="1"/>
    <col min="8" max="8" width="9.7109375" style="1"/>
    <col min="9" max="9" width="11.85546875" style="1" bestFit="1" customWidth="1"/>
    <col min="10" max="16384" width="9.7109375" style="1"/>
  </cols>
  <sheetData>
    <row r="2" spans="2:9" ht="15" x14ac:dyDescent="0.2">
      <c r="B2" s="64" t="s">
        <v>60</v>
      </c>
      <c r="C2" s="65"/>
      <c r="D2" s="65"/>
    </row>
    <row r="7" spans="2:9" ht="10.5" customHeight="1" x14ac:dyDescent="0.2"/>
    <row r="9" spans="2:9" x14ac:dyDescent="0.2">
      <c r="B9" s="66" t="s">
        <v>75</v>
      </c>
      <c r="C9" s="67"/>
      <c r="D9" s="67"/>
    </row>
    <row r="11" spans="2:9" x14ac:dyDescent="0.2">
      <c r="B11" s="3" t="s">
        <v>58</v>
      </c>
    </row>
    <row r="12" spans="2:9" ht="4.5" customHeight="1" x14ac:dyDescent="0.2">
      <c r="B12" s="3"/>
    </row>
    <row r="13" spans="2:9" x14ac:dyDescent="0.2">
      <c r="B13" s="1" t="s">
        <v>31</v>
      </c>
      <c r="C13" s="4">
        <v>40000</v>
      </c>
      <c r="D13" s="2" t="s">
        <v>0</v>
      </c>
    </row>
    <row r="14" spans="2:9" x14ac:dyDescent="0.2">
      <c r="B14" s="1" t="s">
        <v>32</v>
      </c>
      <c r="C14" s="4">
        <v>8000</v>
      </c>
      <c r="D14" s="2" t="s">
        <v>82</v>
      </c>
      <c r="G14" s="5"/>
      <c r="I14" s="6"/>
    </row>
    <row r="15" spans="2:9" x14ac:dyDescent="0.2">
      <c r="B15" s="1" t="s">
        <v>47</v>
      </c>
      <c r="C15" s="4">
        <v>12</v>
      </c>
      <c r="G15" s="6"/>
      <c r="I15" s="6"/>
    </row>
    <row r="16" spans="2:9" x14ac:dyDescent="0.2">
      <c r="B16" s="1" t="s">
        <v>33</v>
      </c>
      <c r="C16" s="4">
        <v>40</v>
      </c>
      <c r="D16" s="2" t="s">
        <v>79</v>
      </c>
      <c r="G16" s="6"/>
      <c r="I16" s="6"/>
    </row>
    <row r="17" spans="2:9" x14ac:dyDescent="0.2">
      <c r="B17" s="1" t="s">
        <v>34</v>
      </c>
      <c r="C17" s="4">
        <v>120</v>
      </c>
      <c r="D17" s="2" t="s">
        <v>0</v>
      </c>
      <c r="F17" s="7"/>
      <c r="G17" s="8"/>
      <c r="H17" s="7"/>
      <c r="I17" s="6"/>
    </row>
    <row r="18" spans="2:9" x14ac:dyDescent="0.2">
      <c r="B18" s="9" t="s">
        <v>2</v>
      </c>
      <c r="C18" s="4">
        <v>10</v>
      </c>
      <c r="D18" s="10" t="s">
        <v>83</v>
      </c>
      <c r="F18" s="7"/>
      <c r="G18" s="8"/>
      <c r="H18" s="7"/>
      <c r="I18" s="6"/>
    </row>
    <row r="19" spans="2:9" s="7" customFormat="1" ht="6" customHeight="1" x14ac:dyDescent="0.2">
      <c r="B19" s="11"/>
      <c r="C19" s="12"/>
      <c r="D19" s="10"/>
    </row>
    <row r="20" spans="2:9" x14ac:dyDescent="0.2">
      <c r="B20" s="1" t="s">
        <v>13</v>
      </c>
      <c r="C20" s="4">
        <v>100</v>
      </c>
      <c r="D20" s="13" t="s">
        <v>8</v>
      </c>
      <c r="F20" s="7"/>
      <c r="G20" s="8"/>
      <c r="H20" s="7"/>
    </row>
    <row r="21" spans="2:9" x14ac:dyDescent="0.2">
      <c r="B21" s="1" t="s">
        <v>7</v>
      </c>
      <c r="C21" s="4">
        <v>15</v>
      </c>
      <c r="D21" s="13" t="s">
        <v>8</v>
      </c>
    </row>
    <row r="22" spans="2:9" s="7" customFormat="1" ht="6" customHeight="1" x14ac:dyDescent="0.2">
      <c r="C22" s="12"/>
      <c r="D22" s="13"/>
    </row>
    <row r="23" spans="2:9" x14ac:dyDescent="0.2">
      <c r="B23" s="1" t="s">
        <v>44</v>
      </c>
      <c r="C23" s="14">
        <v>94.5</v>
      </c>
      <c r="D23" s="13" t="s">
        <v>4</v>
      </c>
    </row>
    <row r="24" spans="2:9" s="7" customFormat="1" ht="6" customHeight="1" x14ac:dyDescent="0.2">
      <c r="C24" s="12"/>
      <c r="D24" s="13"/>
    </row>
    <row r="25" spans="2:9" x14ac:dyDescent="0.2">
      <c r="B25" s="1" t="s">
        <v>55</v>
      </c>
      <c r="C25" s="4">
        <v>50</v>
      </c>
      <c r="D25" s="13" t="s">
        <v>14</v>
      </c>
    </row>
    <row r="26" spans="2:9" x14ac:dyDescent="0.2">
      <c r="B26" s="1" t="s">
        <v>56</v>
      </c>
      <c r="C26" s="4">
        <v>2500</v>
      </c>
      <c r="D26" s="13" t="s">
        <v>14</v>
      </c>
    </row>
    <row r="27" spans="2:9" x14ac:dyDescent="0.2">
      <c r="B27" s="1" t="s">
        <v>57</v>
      </c>
      <c r="C27" s="4">
        <v>50</v>
      </c>
      <c r="D27" s="13" t="s">
        <v>4</v>
      </c>
    </row>
    <row r="28" spans="2:9" x14ac:dyDescent="0.2">
      <c r="B28" s="1" t="s">
        <v>95</v>
      </c>
      <c r="C28" s="15">
        <f>MAX(0.79,(((100-C27)/100*(C16*1000)*C26*0.0002+(C16*1000)*C25-(100-C27)/100*C25*(C16*1000)-(C16*1000)*C26*0.0002)/(C26-C25)/(C16*1000)*100))</f>
        <v>1.010204081632653</v>
      </c>
      <c r="D28" s="2" t="s">
        <v>4</v>
      </c>
    </row>
    <row r="29" spans="2:9" s="7" customFormat="1" ht="6" customHeight="1" x14ac:dyDescent="0.2">
      <c r="C29" s="12"/>
      <c r="D29" s="13"/>
    </row>
    <row r="30" spans="2:9" x14ac:dyDescent="0.2">
      <c r="B30" s="1" t="s">
        <v>36</v>
      </c>
      <c r="C30" s="16">
        <f>VLOOKUP(C18,stoomtabel,5)</f>
        <v>2779.63</v>
      </c>
      <c r="D30" s="2" t="s">
        <v>12</v>
      </c>
    </row>
    <row r="31" spans="2:9" x14ac:dyDescent="0.2">
      <c r="B31" s="1" t="s">
        <v>37</v>
      </c>
      <c r="C31" s="17">
        <f>4.186*C21</f>
        <v>62.79</v>
      </c>
      <c r="D31" s="2" t="s">
        <v>12</v>
      </c>
    </row>
    <row r="32" spans="2:9" x14ac:dyDescent="0.2">
      <c r="B32" s="1" t="s">
        <v>38</v>
      </c>
      <c r="C32" s="16">
        <f>C20*4.186</f>
        <v>418.6</v>
      </c>
      <c r="D32" s="2" t="s">
        <v>12</v>
      </c>
    </row>
    <row r="33" spans="2:4" x14ac:dyDescent="0.2">
      <c r="B33" s="1" t="s">
        <v>39</v>
      </c>
      <c r="C33" s="16">
        <f>VLOOKUP(C18,stoomtabel,3)</f>
        <v>781.13</v>
      </c>
      <c r="D33" s="2" t="s">
        <v>12</v>
      </c>
    </row>
    <row r="34" spans="2:4" x14ac:dyDescent="0.2">
      <c r="C34" s="18"/>
    </row>
    <row r="35" spans="2:4" x14ac:dyDescent="0.2">
      <c r="B35" s="3" t="s">
        <v>59</v>
      </c>
      <c r="C35" s="18"/>
    </row>
    <row r="36" spans="2:4" ht="6" customHeight="1" x14ac:dyDescent="0.2">
      <c r="B36" s="3"/>
      <c r="C36" s="18"/>
    </row>
    <row r="37" spans="2:4" x14ac:dyDescent="0.2">
      <c r="B37" s="1" t="s">
        <v>35</v>
      </c>
      <c r="C37" s="4">
        <v>1672923.0804116025</v>
      </c>
      <c r="D37" s="19" t="s">
        <v>1</v>
      </c>
    </row>
    <row r="38" spans="2:4" x14ac:dyDescent="0.2">
      <c r="B38" s="7" t="s">
        <v>81</v>
      </c>
      <c r="C38" s="4">
        <v>15</v>
      </c>
      <c r="D38" s="19" t="s">
        <v>3</v>
      </c>
    </row>
    <row r="39" spans="2:4" ht="6" customHeight="1" x14ac:dyDescent="0.2">
      <c r="C39" s="18"/>
    </row>
    <row r="40" spans="2:4" x14ac:dyDescent="0.2">
      <c r="B40" s="1" t="s">
        <v>40</v>
      </c>
      <c r="C40" s="4">
        <v>35</v>
      </c>
      <c r="D40" s="2" t="s">
        <v>5</v>
      </c>
    </row>
    <row r="41" spans="2:4" x14ac:dyDescent="0.2">
      <c r="B41" s="1" t="s">
        <v>6</v>
      </c>
      <c r="C41" s="4">
        <v>65</v>
      </c>
      <c r="D41" s="2" t="s">
        <v>5</v>
      </c>
    </row>
    <row r="42" spans="2:4" x14ac:dyDescent="0.2">
      <c r="B42" s="1" t="s">
        <v>41</v>
      </c>
      <c r="C42" s="14">
        <v>2.5</v>
      </c>
      <c r="D42" s="2" t="s">
        <v>9</v>
      </c>
    </row>
    <row r="43" spans="2:4" x14ac:dyDescent="0.2">
      <c r="B43" s="1" t="s">
        <v>42</v>
      </c>
      <c r="C43" s="14">
        <v>5</v>
      </c>
      <c r="D43" s="2" t="s">
        <v>11</v>
      </c>
    </row>
    <row r="44" spans="2:4" x14ac:dyDescent="0.2">
      <c r="B44" s="1" t="s">
        <v>43</v>
      </c>
      <c r="C44" s="14">
        <v>0.25</v>
      </c>
      <c r="D44" s="2" t="s">
        <v>11</v>
      </c>
    </row>
    <row r="45" spans="2:4" x14ac:dyDescent="0.2">
      <c r="B45" s="7" t="s">
        <v>10</v>
      </c>
      <c r="C45" s="14">
        <v>1</v>
      </c>
      <c r="D45" s="2" t="s">
        <v>9</v>
      </c>
    </row>
    <row r="47" spans="2:4" x14ac:dyDescent="0.2">
      <c r="B47" s="3" t="s">
        <v>61</v>
      </c>
    </row>
    <row r="48" spans="2:4" ht="6" customHeight="1" x14ac:dyDescent="0.2"/>
    <row r="49" spans="2:4" x14ac:dyDescent="0.2">
      <c r="B49" s="1" t="s">
        <v>45</v>
      </c>
      <c r="C49" s="4">
        <v>1</v>
      </c>
      <c r="D49" s="2" t="s">
        <v>4</v>
      </c>
    </row>
    <row r="51" spans="2:4" x14ac:dyDescent="0.2">
      <c r="B51" s="3" t="s">
        <v>62</v>
      </c>
    </row>
    <row r="52" spans="2:4" ht="6" customHeight="1" x14ac:dyDescent="0.2"/>
    <row r="53" spans="2:4" x14ac:dyDescent="0.2">
      <c r="B53" s="1" t="s">
        <v>63</v>
      </c>
      <c r="C53" s="4">
        <v>100</v>
      </c>
      <c r="D53" s="2" t="s">
        <v>16</v>
      </c>
    </row>
    <row r="54" spans="2:4" ht="6" customHeight="1" x14ac:dyDescent="0.2"/>
    <row r="55" spans="2:4" x14ac:dyDescent="0.2">
      <c r="B55" s="1" t="s">
        <v>46</v>
      </c>
      <c r="C55" s="4">
        <v>60</v>
      </c>
      <c r="D55" s="2" t="s">
        <v>65</v>
      </c>
    </row>
    <row r="56" spans="2:4" x14ac:dyDescent="0.2">
      <c r="B56" s="1" t="s">
        <v>64</v>
      </c>
      <c r="C56" s="20">
        <v>6.7</v>
      </c>
      <c r="D56" s="2" t="s">
        <v>17</v>
      </c>
    </row>
    <row r="57" spans="2:4" s="7" customFormat="1" x14ac:dyDescent="0.2">
      <c r="C57" s="21"/>
      <c r="D57" s="13"/>
    </row>
    <row r="58" spans="2:4" s="7" customFormat="1" x14ac:dyDescent="0.2">
      <c r="C58" s="21"/>
      <c r="D58" s="13"/>
    </row>
    <row r="59" spans="2:4" s="7" customFormat="1" x14ac:dyDescent="0.2">
      <c r="C59" s="21"/>
      <c r="D59" s="13"/>
    </row>
    <row r="64" spans="2:4" x14ac:dyDescent="0.2">
      <c r="B64" s="68" t="s">
        <v>80</v>
      </c>
      <c r="C64" s="68"/>
      <c r="D64" s="68"/>
    </row>
    <row r="66" spans="2:4" x14ac:dyDescent="0.2">
      <c r="B66" s="3" t="s">
        <v>66</v>
      </c>
    </row>
    <row r="67" spans="2:4" ht="6" customHeight="1" x14ac:dyDescent="0.2">
      <c r="B67" s="3"/>
    </row>
    <row r="68" spans="2:4" x14ac:dyDescent="0.2">
      <c r="B68" s="22" t="s">
        <v>67</v>
      </c>
      <c r="C68" s="15">
        <f>1000*(C30-C32)/3.251/1000/C23*100</f>
        <v>768.51567039201609</v>
      </c>
      <c r="D68" s="23" t="s">
        <v>19</v>
      </c>
    </row>
    <row r="69" spans="2:4" x14ac:dyDescent="0.2">
      <c r="B69" s="22" t="s">
        <v>68</v>
      </c>
      <c r="C69" s="15">
        <f>C27/100*1000*(C32-C31)/C23*100/3.251/1000</f>
        <v>57.908108046526998</v>
      </c>
      <c r="D69" s="23" t="s">
        <v>19</v>
      </c>
    </row>
    <row r="70" spans="2:4" x14ac:dyDescent="0.2">
      <c r="B70" s="22" t="s">
        <v>69</v>
      </c>
      <c r="C70" s="15">
        <f>C28/100*1000*(C33-C31)/C23*100/3.251/1000</f>
        <v>2.3620570959851181</v>
      </c>
      <c r="D70" s="23" t="s">
        <v>19</v>
      </c>
    </row>
    <row r="71" spans="2:4" ht="6" customHeight="1" x14ac:dyDescent="0.2">
      <c r="B71" s="22"/>
      <c r="C71" s="15"/>
      <c r="D71" s="23"/>
    </row>
    <row r="72" spans="2:4" x14ac:dyDescent="0.2">
      <c r="B72" s="24" t="s">
        <v>70</v>
      </c>
      <c r="C72" s="25">
        <f>SUM(C68:C70)</f>
        <v>828.78583553452825</v>
      </c>
      <c r="D72" s="26" t="s">
        <v>19</v>
      </c>
    </row>
    <row r="73" spans="2:4" x14ac:dyDescent="0.2">
      <c r="C73" s="27"/>
      <c r="D73" s="23"/>
    </row>
    <row r="74" spans="2:4" x14ac:dyDescent="0.2">
      <c r="B74" s="24" t="s">
        <v>71</v>
      </c>
    </row>
    <row r="75" spans="2:4" ht="6" customHeight="1" x14ac:dyDescent="0.2">
      <c r="B75" s="24"/>
    </row>
    <row r="76" spans="2:4" x14ac:dyDescent="0.2">
      <c r="B76" s="22" t="s">
        <v>72</v>
      </c>
      <c r="C76" s="28">
        <f>1000*C27/100</f>
        <v>500</v>
      </c>
      <c r="D76" s="2" t="s">
        <v>18</v>
      </c>
    </row>
    <row r="77" spans="2:4" x14ac:dyDescent="0.2">
      <c r="B77" s="22" t="s">
        <v>69</v>
      </c>
      <c r="C77" s="29">
        <f>1000*C28/100</f>
        <v>10.102040816326531</v>
      </c>
      <c r="D77" s="30" t="s">
        <v>18</v>
      </c>
    </row>
    <row r="78" spans="2:4" ht="6" customHeight="1" x14ac:dyDescent="0.2">
      <c r="B78" s="22"/>
      <c r="C78" s="31"/>
      <c r="D78" s="30"/>
    </row>
    <row r="79" spans="2:4" x14ac:dyDescent="0.2">
      <c r="B79" s="24" t="s">
        <v>73</v>
      </c>
      <c r="C79" s="32">
        <f>SUM(C76:C77)</f>
        <v>510.10204081632651</v>
      </c>
      <c r="D79" s="33" t="s">
        <v>18</v>
      </c>
    </row>
    <row r="81" spans="2:4" x14ac:dyDescent="0.2">
      <c r="B81" s="3" t="s">
        <v>15</v>
      </c>
      <c r="C81" s="29">
        <f>C53*C79/1000</f>
        <v>51.010204081632651</v>
      </c>
      <c r="D81" s="30" t="s">
        <v>16</v>
      </c>
    </row>
    <row r="83" spans="2:4" x14ac:dyDescent="0.2">
      <c r="B83" s="3" t="s">
        <v>46</v>
      </c>
      <c r="C83" s="29">
        <f>C55*C56*C79/1000</f>
        <v>205.06102040816324</v>
      </c>
      <c r="D83" s="30" t="s">
        <v>16</v>
      </c>
    </row>
    <row r="85" spans="2:4" x14ac:dyDescent="0.2">
      <c r="B85" s="3" t="s">
        <v>74</v>
      </c>
      <c r="C85" s="25">
        <f>1000*(C30-C31)*C17/(C13*3600)</f>
        <v>2.2640333333333333</v>
      </c>
      <c r="D85" s="26" t="s">
        <v>19</v>
      </c>
    </row>
    <row r="89" spans="2:4" x14ac:dyDescent="0.2">
      <c r="B89" s="68" t="s">
        <v>76</v>
      </c>
      <c r="C89" s="68"/>
      <c r="D89" s="68"/>
    </row>
    <row r="90" spans="2:4" ht="13.5" thickBot="1" x14ac:dyDescent="0.25"/>
    <row r="91" spans="2:4" ht="6" customHeight="1" thickTop="1" x14ac:dyDescent="0.2">
      <c r="B91" s="34"/>
      <c r="C91" s="35"/>
      <c r="D91" s="36"/>
    </row>
    <row r="92" spans="2:4" x14ac:dyDescent="0.2">
      <c r="B92" s="37" t="s">
        <v>20</v>
      </c>
      <c r="C92" s="38">
        <f>C13*0.5*C15*C40/(C23/100)/1000/(C16*C14)</f>
        <v>2.7777777777777783E-2</v>
      </c>
      <c r="D92" s="39" t="s">
        <v>1</v>
      </c>
    </row>
    <row r="93" spans="2:4" x14ac:dyDescent="0.2">
      <c r="B93" s="37" t="s">
        <v>48</v>
      </c>
      <c r="C93" s="38">
        <f>C72*C40/1000</f>
        <v>29.007504243708489</v>
      </c>
      <c r="D93" s="40" t="s">
        <v>1</v>
      </c>
    </row>
    <row r="94" spans="2:4" x14ac:dyDescent="0.2">
      <c r="B94" s="37" t="s">
        <v>49</v>
      </c>
      <c r="C94" s="38">
        <f>C79*C42/1000</f>
        <v>1.2752551020408165</v>
      </c>
      <c r="D94" s="40" t="s">
        <v>1</v>
      </c>
    </row>
    <row r="95" spans="2:4" x14ac:dyDescent="0.2">
      <c r="B95" s="37" t="s">
        <v>50</v>
      </c>
      <c r="C95" s="38">
        <f>C81*C43/1000</f>
        <v>0.25505102040816324</v>
      </c>
      <c r="D95" s="40" t="s">
        <v>1</v>
      </c>
    </row>
    <row r="96" spans="2:4" x14ac:dyDescent="0.2">
      <c r="B96" s="37" t="s">
        <v>51</v>
      </c>
      <c r="C96" s="38">
        <f>C83*C44/1000</f>
        <v>5.1265255102040809E-2</v>
      </c>
      <c r="D96" s="40" t="s">
        <v>1</v>
      </c>
    </row>
    <row r="97" spans="2:4" x14ac:dyDescent="0.2">
      <c r="B97" s="37" t="s">
        <v>52</v>
      </c>
      <c r="C97" s="38">
        <f>C85*C41/1000</f>
        <v>0.14716216666666668</v>
      </c>
      <c r="D97" s="40" t="s">
        <v>1</v>
      </c>
    </row>
    <row r="98" spans="2:4" x14ac:dyDescent="0.2">
      <c r="B98" s="37" t="s">
        <v>21</v>
      </c>
      <c r="C98" s="38">
        <f>C77*C45/1000</f>
        <v>1.010204081632653E-2</v>
      </c>
      <c r="D98" s="41" t="s">
        <v>1</v>
      </c>
    </row>
    <row r="99" spans="2:4" x14ac:dyDescent="0.2">
      <c r="B99" s="42" t="s">
        <v>94</v>
      </c>
      <c r="C99" s="43">
        <f>SUM(C92:C98)</f>
        <v>30.774117606520285</v>
      </c>
      <c r="D99" s="40" t="s">
        <v>1</v>
      </c>
    </row>
    <row r="100" spans="2:4" x14ac:dyDescent="0.2">
      <c r="B100" s="37" t="s">
        <v>22</v>
      </c>
      <c r="C100" s="15"/>
      <c r="D100" s="40"/>
    </row>
    <row r="101" spans="2:4" x14ac:dyDescent="0.2">
      <c r="B101" s="37" t="s">
        <v>53</v>
      </c>
      <c r="C101" s="38">
        <f>C37*C49*1000/(100*C14*C16*1000)</f>
        <v>5.2278846262862576E-2</v>
      </c>
      <c r="D101" s="40" t="s">
        <v>1</v>
      </c>
    </row>
    <row r="102" spans="2:4" ht="4.5" customHeight="1" x14ac:dyDescent="0.2">
      <c r="B102" s="37" t="s">
        <v>23</v>
      </c>
      <c r="C102" s="15"/>
      <c r="D102" s="40"/>
    </row>
    <row r="103" spans="2:4" x14ac:dyDescent="0.2">
      <c r="B103" s="37" t="s">
        <v>77</v>
      </c>
      <c r="C103" s="38">
        <f>C37*1000/(C38*C14*C16*1000)</f>
        <v>0.34852564175241718</v>
      </c>
      <c r="D103" s="40" t="s">
        <v>1</v>
      </c>
    </row>
    <row r="104" spans="2:4" ht="4.5" customHeight="1" thickBot="1" x14ac:dyDescent="0.25">
      <c r="B104" s="37"/>
      <c r="C104" s="44"/>
      <c r="D104" s="40"/>
    </row>
    <row r="105" spans="2:4" ht="6" customHeight="1" thickTop="1" x14ac:dyDescent="0.2">
      <c r="B105" s="34" t="s">
        <v>24</v>
      </c>
      <c r="C105" s="45"/>
      <c r="D105" s="46"/>
    </row>
    <row r="106" spans="2:4" x14ac:dyDescent="0.2">
      <c r="B106" s="42" t="s">
        <v>54</v>
      </c>
      <c r="C106" s="25">
        <f>C99+C101+C103</f>
        <v>31.174922094535564</v>
      </c>
      <c r="D106" s="40" t="s">
        <v>1</v>
      </c>
    </row>
    <row r="107" spans="2:4" ht="6" customHeight="1" thickBot="1" x14ac:dyDescent="0.25">
      <c r="B107" s="47"/>
      <c r="C107" s="48"/>
      <c r="D107" s="49"/>
    </row>
    <row r="108" spans="2:4" ht="13.5" thickTop="1" x14ac:dyDescent="0.2"/>
    <row r="112" spans="2:4" x14ac:dyDescent="0.2">
      <c r="C112" s="1" t="s">
        <v>28</v>
      </c>
    </row>
    <row r="113" spans="3:3" x14ac:dyDescent="0.2">
      <c r="C113" s="1" t="s">
        <v>96</v>
      </c>
    </row>
    <row r="114" spans="3:3" x14ac:dyDescent="0.2">
      <c r="C114" s="1" t="s">
        <v>97</v>
      </c>
    </row>
    <row r="115" spans="3:3" x14ac:dyDescent="0.2">
      <c r="C115" s="1" t="s">
        <v>30</v>
      </c>
    </row>
    <row r="118" spans="3:3" x14ac:dyDescent="0.2">
      <c r="C118" s="50" t="s">
        <v>29</v>
      </c>
    </row>
    <row r="119" spans="3:3" x14ac:dyDescent="0.2">
      <c r="C119" s="51" t="s">
        <v>78</v>
      </c>
    </row>
    <row r="121" spans="3:3" x14ac:dyDescent="0.2">
      <c r="C121" s="50"/>
    </row>
    <row r="122" spans="3:3" x14ac:dyDescent="0.2">
      <c r="C122" s="50"/>
    </row>
    <row r="123" spans="3:3" x14ac:dyDescent="0.2">
      <c r="C123" s="50"/>
    </row>
    <row r="124" spans="3:3" x14ac:dyDescent="0.2">
      <c r="C124" s="50"/>
    </row>
    <row r="125" spans="3:3" x14ac:dyDescent="0.2">
      <c r="C125" s="50"/>
    </row>
  </sheetData>
  <mergeCells count="4">
    <mergeCell ref="B2:D2"/>
    <mergeCell ref="B9:D9"/>
    <mergeCell ref="B64:D64"/>
    <mergeCell ref="B89:D89"/>
  </mergeCells>
  <phoneticPr fontId="0" type="noConversion"/>
  <hyperlinks>
    <hyperlink ref="C118" r:id="rId1"/>
    <hyperlink ref="C119" r:id="rId2"/>
  </hyperlinks>
  <pageMargins left="0.7" right="0.7" top="0.75" bottom="0.75" header="0.3" footer="0.3"/>
  <pageSetup paperSize="9" orientation="portrait" horizontalDpi="300" verticalDpi="300" r:id="rId3"/>
  <headerFooter alignWithMargins="0">
    <oddFooter>&amp;R&amp;P/&amp;N</oddFooter>
  </headerFooter>
  <rowBreaks count="1" manualBreakCount="1">
    <brk id="62" min="1" max="3" man="1"/>
  </rowBreak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pageSetUpPr fitToPage="1"/>
  </sheetPr>
  <dimension ref="B1:O98"/>
  <sheetViews>
    <sheetView showGridLines="0" zoomScaleNormal="100" zoomScaleSheetLayoutView="100" workbookViewId="0">
      <selection activeCell="O11" sqref="O11"/>
    </sheetView>
  </sheetViews>
  <sheetFormatPr defaultColWidth="9.7109375" defaultRowHeight="12.75" x14ac:dyDescent="0.2"/>
  <cols>
    <col min="1" max="1" width="8.85546875" style="62" customWidth="1"/>
    <col min="2" max="2" width="6.42578125" style="62" bestFit="1" customWidth="1"/>
    <col min="3" max="3" width="9" style="62" customWidth="1"/>
    <col min="4" max="4" width="8.28515625" style="62" customWidth="1"/>
    <col min="5" max="5" width="8.5703125" style="62" customWidth="1"/>
    <col min="6" max="6" width="9" style="62" customWidth="1"/>
    <col min="7" max="7" width="7.28515625" style="62" customWidth="1"/>
    <col min="8" max="8" width="8.5703125" style="62" customWidth="1"/>
    <col min="9" max="9" width="8" style="62" customWidth="1"/>
    <col min="10" max="10" width="11" style="62" customWidth="1"/>
    <col min="11" max="11" width="9.140625" style="62" customWidth="1"/>
    <col min="12" max="16384" width="9.7109375" style="62"/>
  </cols>
  <sheetData>
    <row r="1" spans="2:12" s="52" customFormat="1" x14ac:dyDescent="0.2">
      <c r="B1" s="70" t="s">
        <v>25</v>
      </c>
      <c r="C1" s="70"/>
      <c r="D1" s="70"/>
      <c r="E1" s="70"/>
      <c r="F1" s="70"/>
      <c r="G1" s="70"/>
      <c r="H1" s="70"/>
      <c r="I1" s="70"/>
      <c r="J1" s="70"/>
      <c r="K1" s="70"/>
    </row>
    <row r="2" spans="2:12" s="52" customFormat="1" x14ac:dyDescent="0.2"/>
    <row r="3" spans="2:12" s="53" customFormat="1" x14ac:dyDescent="0.2">
      <c r="E3" s="53" t="s">
        <v>26</v>
      </c>
      <c r="H3" s="53" t="s">
        <v>27</v>
      </c>
      <c r="J3" s="69" t="s">
        <v>86</v>
      </c>
      <c r="K3" s="69"/>
    </row>
    <row r="4" spans="2:12" s="53" customFormat="1" x14ac:dyDescent="0.2">
      <c r="B4" s="53" t="s">
        <v>93</v>
      </c>
      <c r="C4" s="53" t="s">
        <v>92</v>
      </c>
      <c r="D4" s="53" t="s">
        <v>89</v>
      </c>
      <c r="E4" s="53" t="s">
        <v>91</v>
      </c>
      <c r="F4" s="53" t="s">
        <v>90</v>
      </c>
      <c r="G4" s="53" t="s">
        <v>89</v>
      </c>
      <c r="H4" s="53" t="s">
        <v>91</v>
      </c>
      <c r="I4" s="53" t="s">
        <v>90</v>
      </c>
      <c r="J4" s="53" t="s">
        <v>89</v>
      </c>
      <c r="K4" s="53" t="s">
        <v>88</v>
      </c>
    </row>
    <row r="5" spans="2:12" s="53" customFormat="1" x14ac:dyDescent="0.2">
      <c r="B5" s="53" t="s">
        <v>84</v>
      </c>
      <c r="C5" s="53" t="s">
        <v>8</v>
      </c>
      <c r="D5" s="53" t="s">
        <v>12</v>
      </c>
      <c r="E5" s="53" t="s">
        <v>12</v>
      </c>
      <c r="F5" s="53" t="s">
        <v>12</v>
      </c>
      <c r="G5" s="53" t="s">
        <v>85</v>
      </c>
      <c r="H5" s="53" t="s">
        <v>85</v>
      </c>
      <c r="I5" s="53" t="s">
        <v>85</v>
      </c>
      <c r="J5" s="53" t="s">
        <v>87</v>
      </c>
      <c r="K5" s="53" t="s">
        <v>87</v>
      </c>
    </row>
    <row r="6" spans="2:12" s="53" customFormat="1" x14ac:dyDescent="0.2">
      <c r="B6" s="54"/>
    </row>
    <row r="7" spans="2:12" s="52" customFormat="1" x14ac:dyDescent="0.2">
      <c r="B7" s="55">
        <v>0</v>
      </c>
      <c r="C7" s="56">
        <v>100</v>
      </c>
      <c r="D7" s="57">
        <v>417.51</v>
      </c>
      <c r="E7" s="57">
        <v>2257.9</v>
      </c>
      <c r="F7" s="57">
        <v>2675.41</v>
      </c>
      <c r="G7" s="57">
        <f t="shared" ref="G7:G38" si="0">D7/4.186</f>
        <v>99.73960821786909</v>
      </c>
      <c r="H7" s="57">
        <f t="shared" ref="H7:H38" si="1">E7/4.186</f>
        <v>539.39321548017199</v>
      </c>
      <c r="I7" s="57">
        <f t="shared" ref="I7:I38" si="2">F7/4.186</f>
        <v>639.13282369804108</v>
      </c>
      <c r="J7" s="58">
        <v>1.0430000000000001E-3</v>
      </c>
      <c r="K7" s="59">
        <v>1.694</v>
      </c>
      <c r="L7" s="52">
        <v>0</v>
      </c>
    </row>
    <row r="8" spans="2:12" s="52" customFormat="1" x14ac:dyDescent="0.2">
      <c r="B8" s="60">
        <v>0.5</v>
      </c>
      <c r="C8" s="52">
        <v>111.4</v>
      </c>
      <c r="D8" s="57">
        <f>111.6*4.186</f>
        <v>467.15759999999995</v>
      </c>
      <c r="E8" s="57">
        <f>531.8*4.186</f>
        <v>2226.1147999999998</v>
      </c>
      <c r="F8" s="57">
        <f>643.4*4.186</f>
        <v>2693.2723999999998</v>
      </c>
      <c r="G8" s="52">
        <f t="shared" si="0"/>
        <v>111.6</v>
      </c>
      <c r="H8" s="52">
        <f t="shared" si="1"/>
        <v>531.79999999999995</v>
      </c>
      <c r="I8" s="52">
        <f t="shared" si="2"/>
        <v>643.4</v>
      </c>
      <c r="J8" s="52">
        <v>1.0510000000000001E-3</v>
      </c>
      <c r="K8" s="59">
        <v>1.159</v>
      </c>
      <c r="L8" s="52">
        <v>1</v>
      </c>
    </row>
    <row r="9" spans="2:12" s="52" customFormat="1" x14ac:dyDescent="0.2">
      <c r="B9" s="60">
        <v>1</v>
      </c>
      <c r="C9" s="56">
        <v>120.23</v>
      </c>
      <c r="D9" s="57">
        <v>504.7</v>
      </c>
      <c r="E9" s="57">
        <v>2201.6</v>
      </c>
      <c r="F9" s="57">
        <v>2706.3</v>
      </c>
      <c r="G9" s="57">
        <f t="shared" si="0"/>
        <v>120.5685618729097</v>
      </c>
      <c r="H9" s="57">
        <f t="shared" si="1"/>
        <v>525.94362159579555</v>
      </c>
      <c r="I9" s="57">
        <f t="shared" si="2"/>
        <v>646.5121834687053</v>
      </c>
      <c r="J9" s="58">
        <v>1.06E-3</v>
      </c>
      <c r="K9" s="59">
        <v>0.88539999999999996</v>
      </c>
      <c r="L9" s="52">
        <v>2</v>
      </c>
    </row>
    <row r="10" spans="2:12" s="52" customFormat="1" x14ac:dyDescent="0.2">
      <c r="B10" s="60">
        <v>1.2</v>
      </c>
      <c r="C10" s="56">
        <v>123.27</v>
      </c>
      <c r="D10" s="57">
        <v>517.62</v>
      </c>
      <c r="E10" s="57">
        <v>2193</v>
      </c>
      <c r="F10" s="57">
        <v>2710.62</v>
      </c>
      <c r="G10" s="57">
        <f t="shared" si="0"/>
        <v>123.65504061156236</v>
      </c>
      <c r="H10" s="57">
        <f t="shared" si="1"/>
        <v>523.88915432393696</v>
      </c>
      <c r="I10" s="57">
        <f t="shared" si="2"/>
        <v>647.54419493549926</v>
      </c>
      <c r="J10" s="58">
        <v>1.0629999999999999E-3</v>
      </c>
      <c r="K10" s="59">
        <v>0.80979999999999996</v>
      </c>
      <c r="L10" s="52">
        <v>3</v>
      </c>
    </row>
    <row r="11" spans="2:12" s="52" customFormat="1" x14ac:dyDescent="0.2">
      <c r="B11" s="60">
        <v>1.4</v>
      </c>
      <c r="C11" s="56">
        <v>126.09</v>
      </c>
      <c r="D11" s="57">
        <v>529.64</v>
      </c>
      <c r="E11" s="57">
        <v>2184.9</v>
      </c>
      <c r="F11" s="57">
        <v>2714.54</v>
      </c>
      <c r="G11" s="57">
        <f t="shared" si="0"/>
        <v>126.52651696129956</v>
      </c>
      <c r="H11" s="57">
        <f t="shared" si="1"/>
        <v>521.95413282369805</v>
      </c>
      <c r="I11" s="57">
        <f t="shared" si="2"/>
        <v>648.48064978499758</v>
      </c>
      <c r="J11" s="58">
        <v>1.0660000000000001E-3</v>
      </c>
      <c r="K11" s="59">
        <v>0.74650000000000005</v>
      </c>
      <c r="L11" s="52">
        <v>4</v>
      </c>
    </row>
    <row r="12" spans="2:12" s="52" customFormat="1" x14ac:dyDescent="0.2">
      <c r="B12" s="60">
        <v>1.5</v>
      </c>
      <c r="C12" s="56">
        <v>127.43</v>
      </c>
      <c r="D12" s="57">
        <v>535.34</v>
      </c>
      <c r="E12" s="57">
        <v>2181</v>
      </c>
      <c r="F12" s="57">
        <v>2716.34</v>
      </c>
      <c r="G12" s="57">
        <f t="shared" si="0"/>
        <v>127.88819875776399</v>
      </c>
      <c r="H12" s="57">
        <f t="shared" si="1"/>
        <v>521.02245580506451</v>
      </c>
      <c r="I12" s="57">
        <f t="shared" si="2"/>
        <v>648.91065456282854</v>
      </c>
      <c r="J12" s="58">
        <v>1.067E-3</v>
      </c>
      <c r="K12" s="59">
        <v>0.71840000000000004</v>
      </c>
      <c r="L12" s="52">
        <v>5</v>
      </c>
    </row>
    <row r="13" spans="2:12" s="52" customFormat="1" x14ac:dyDescent="0.2">
      <c r="B13" s="60">
        <v>1.6</v>
      </c>
      <c r="C13" s="56">
        <v>128.72999999999999</v>
      </c>
      <c r="D13" s="57">
        <v>540.87</v>
      </c>
      <c r="E13" s="57">
        <v>2177.3000000000002</v>
      </c>
      <c r="F13" s="57">
        <v>2718.17</v>
      </c>
      <c r="G13" s="57">
        <f t="shared" si="0"/>
        <v>129.20926899187768</v>
      </c>
      <c r="H13" s="57">
        <f t="shared" si="1"/>
        <v>520.13855709507891</v>
      </c>
      <c r="I13" s="57">
        <f t="shared" si="2"/>
        <v>649.3478260869565</v>
      </c>
      <c r="J13" s="58">
        <v>1.0679999999999999E-3</v>
      </c>
      <c r="K13" s="59">
        <v>0.6925</v>
      </c>
      <c r="L13" s="52">
        <v>6</v>
      </c>
    </row>
    <row r="14" spans="2:12" s="52" customFormat="1" x14ac:dyDescent="0.2">
      <c r="B14" s="60">
        <v>1.8</v>
      </c>
      <c r="C14" s="56">
        <v>131.19999999999999</v>
      </c>
      <c r="D14" s="57">
        <v>551.44000000000005</v>
      </c>
      <c r="E14" s="57">
        <v>2170.1</v>
      </c>
      <c r="F14" s="57">
        <v>2721.54</v>
      </c>
      <c r="G14" s="57">
        <f t="shared" si="0"/>
        <v>131.73435260391784</v>
      </c>
      <c r="H14" s="57">
        <f t="shared" si="1"/>
        <v>518.41853798375541</v>
      </c>
      <c r="I14" s="57">
        <f t="shared" si="2"/>
        <v>650.15289058767314</v>
      </c>
      <c r="J14" s="58">
        <v>1.0709999999999999E-3</v>
      </c>
      <c r="K14" s="59">
        <v>0.64600000000000002</v>
      </c>
      <c r="L14" s="52">
        <v>7</v>
      </c>
    </row>
    <row r="15" spans="2:12" s="52" customFormat="1" x14ac:dyDescent="0.2">
      <c r="B15" s="60">
        <v>2</v>
      </c>
      <c r="C15" s="56">
        <v>133.54</v>
      </c>
      <c r="D15" s="57">
        <v>561.42999999999995</v>
      </c>
      <c r="E15" s="57">
        <v>2163.1999999999998</v>
      </c>
      <c r="F15" s="57">
        <v>2724.63</v>
      </c>
      <c r="G15" s="57">
        <f t="shared" si="0"/>
        <v>134.12087912087912</v>
      </c>
      <c r="H15" s="57">
        <f t="shared" si="1"/>
        <v>516.77018633540365</v>
      </c>
      <c r="I15" s="57">
        <f t="shared" si="2"/>
        <v>650.89106545628283</v>
      </c>
      <c r="J15" s="58">
        <v>1.073E-3</v>
      </c>
      <c r="K15" s="59">
        <v>0.60560000000000003</v>
      </c>
      <c r="L15" s="52">
        <v>8</v>
      </c>
    </row>
    <row r="16" spans="2:12" s="52" customFormat="1" x14ac:dyDescent="0.2">
      <c r="B16" s="60">
        <v>2.2000000000000002</v>
      </c>
      <c r="C16" s="56">
        <v>135.75</v>
      </c>
      <c r="D16" s="57">
        <v>570.9</v>
      </c>
      <c r="E16" s="57">
        <v>2156.6999999999998</v>
      </c>
      <c r="F16" s="57">
        <v>2727.6</v>
      </c>
      <c r="G16" s="57">
        <f t="shared" si="0"/>
        <v>136.38318203535596</v>
      </c>
      <c r="H16" s="57">
        <f t="shared" si="1"/>
        <v>515.21739130434776</v>
      </c>
      <c r="I16" s="57">
        <f t="shared" si="2"/>
        <v>651.60057333970371</v>
      </c>
      <c r="J16" s="58">
        <v>1.075E-3</v>
      </c>
      <c r="K16" s="59">
        <v>0.56999999999999995</v>
      </c>
      <c r="L16" s="52">
        <v>9</v>
      </c>
    </row>
    <row r="17" spans="2:12" s="52" customFormat="1" x14ac:dyDescent="0.2">
      <c r="B17" s="60">
        <v>2.4</v>
      </c>
      <c r="C17" s="56">
        <v>137.86000000000001</v>
      </c>
      <c r="D17" s="57">
        <v>579.91999999999996</v>
      </c>
      <c r="E17" s="57">
        <v>2150.4</v>
      </c>
      <c r="F17" s="57">
        <v>2730.32</v>
      </c>
      <c r="G17" s="57">
        <f t="shared" si="0"/>
        <v>138.53798375537505</v>
      </c>
      <c r="H17" s="57">
        <f t="shared" si="1"/>
        <v>513.7123745819398</v>
      </c>
      <c r="I17" s="57">
        <f t="shared" si="2"/>
        <v>652.25035833731488</v>
      </c>
      <c r="J17" s="58">
        <v>1.077E-3</v>
      </c>
      <c r="K17" s="59">
        <v>0.53849999999999998</v>
      </c>
      <c r="L17" s="52">
        <v>10</v>
      </c>
    </row>
    <row r="18" spans="2:12" s="52" customFormat="1" x14ac:dyDescent="0.2">
      <c r="B18" s="60">
        <v>2.6</v>
      </c>
      <c r="C18" s="56">
        <v>139.86000000000001</v>
      </c>
      <c r="D18" s="57">
        <v>588.53</v>
      </c>
      <c r="E18" s="57">
        <v>2144.4</v>
      </c>
      <c r="F18" s="57">
        <v>2732.93</v>
      </c>
      <c r="G18" s="57">
        <f t="shared" si="0"/>
        <v>140.59483994266603</v>
      </c>
      <c r="H18" s="57">
        <f t="shared" si="1"/>
        <v>512.27902532250357</v>
      </c>
      <c r="I18" s="57">
        <f t="shared" si="2"/>
        <v>652.87386526516957</v>
      </c>
      <c r="J18" s="58">
        <v>1.0790000000000001E-3</v>
      </c>
      <c r="K18" s="59">
        <v>0.51029999999999998</v>
      </c>
      <c r="L18" s="52">
        <v>11</v>
      </c>
    </row>
    <row r="19" spans="2:12" s="52" customFormat="1" x14ac:dyDescent="0.2">
      <c r="B19" s="60">
        <v>2.8</v>
      </c>
      <c r="C19" s="56">
        <v>141.78</v>
      </c>
      <c r="D19" s="57">
        <v>596.77</v>
      </c>
      <c r="E19" s="57">
        <v>2138.6</v>
      </c>
      <c r="F19" s="57">
        <v>2735.37</v>
      </c>
      <c r="G19" s="57">
        <f t="shared" si="0"/>
        <v>142.56330625895842</v>
      </c>
      <c r="H19" s="57">
        <f t="shared" si="1"/>
        <v>510.89345437171522</v>
      </c>
      <c r="I19" s="57">
        <f t="shared" si="2"/>
        <v>653.45676063067367</v>
      </c>
      <c r="J19" s="58">
        <v>1.0809999999999999E-3</v>
      </c>
      <c r="K19" s="59">
        <v>0.48509999999999998</v>
      </c>
      <c r="L19" s="52">
        <v>12</v>
      </c>
    </row>
    <row r="20" spans="2:12" s="52" customFormat="1" x14ac:dyDescent="0.2">
      <c r="B20" s="60">
        <v>3</v>
      </c>
      <c r="C20" s="56">
        <v>143.62</v>
      </c>
      <c r="D20" s="57">
        <v>604.66999999999996</v>
      </c>
      <c r="E20" s="57">
        <v>2133</v>
      </c>
      <c r="F20" s="57">
        <v>2737.67</v>
      </c>
      <c r="G20" s="57">
        <f t="shared" si="0"/>
        <v>144.45054945054943</v>
      </c>
      <c r="H20" s="57">
        <f t="shared" si="1"/>
        <v>509.55566172957481</v>
      </c>
      <c r="I20" s="57">
        <f t="shared" si="2"/>
        <v>654.0062111801243</v>
      </c>
      <c r="J20" s="58">
        <v>1.083E-3</v>
      </c>
      <c r="K20" s="59">
        <v>0.4622</v>
      </c>
      <c r="L20" s="52">
        <v>13</v>
      </c>
    </row>
    <row r="21" spans="2:12" s="52" customFormat="1" x14ac:dyDescent="0.2">
      <c r="B21" s="60">
        <v>3.5</v>
      </c>
      <c r="C21" s="56">
        <v>147.91999999999999</v>
      </c>
      <c r="D21" s="57">
        <v>623.16</v>
      </c>
      <c r="E21" s="57">
        <v>2119.6999999999998</v>
      </c>
      <c r="F21" s="57">
        <v>2742.86</v>
      </c>
      <c r="G21" s="57">
        <f t="shared" si="0"/>
        <v>148.86765408504539</v>
      </c>
      <c r="H21" s="57">
        <f t="shared" si="1"/>
        <v>506.37840420449112</v>
      </c>
      <c r="I21" s="57">
        <f t="shared" si="2"/>
        <v>655.24605828953656</v>
      </c>
      <c r="J21" s="58">
        <v>1.088E-3</v>
      </c>
      <c r="K21" s="59">
        <v>0.41320000000000001</v>
      </c>
      <c r="L21" s="52">
        <v>14</v>
      </c>
    </row>
    <row r="22" spans="2:12" s="52" customFormat="1" x14ac:dyDescent="0.2">
      <c r="B22" s="60">
        <v>4</v>
      </c>
      <c r="C22" s="56">
        <v>151.84</v>
      </c>
      <c r="D22" s="57">
        <v>640.12</v>
      </c>
      <c r="E22" s="57">
        <v>2107.4</v>
      </c>
      <c r="F22" s="57">
        <v>2747.52</v>
      </c>
      <c r="G22" s="57">
        <f t="shared" si="0"/>
        <v>152.91925465838509</v>
      </c>
      <c r="H22" s="57">
        <f t="shared" si="1"/>
        <v>503.44003822264693</v>
      </c>
      <c r="I22" s="57">
        <f t="shared" si="2"/>
        <v>656.35929288103205</v>
      </c>
      <c r="J22" s="58">
        <v>1.0920000000000001E-3</v>
      </c>
      <c r="K22" s="59">
        <v>0.37469999999999998</v>
      </c>
      <c r="L22" s="52">
        <v>15</v>
      </c>
    </row>
    <row r="23" spans="2:12" s="52" customFormat="1" x14ac:dyDescent="0.2">
      <c r="B23" s="60">
        <v>4.5</v>
      </c>
      <c r="C23" s="56">
        <v>155.46</v>
      </c>
      <c r="D23" s="57">
        <v>655.78</v>
      </c>
      <c r="E23" s="57">
        <v>2095.9</v>
      </c>
      <c r="F23" s="57">
        <v>2751.68</v>
      </c>
      <c r="G23" s="57">
        <f t="shared" si="0"/>
        <v>156.6602962255136</v>
      </c>
      <c r="H23" s="57">
        <f t="shared" si="1"/>
        <v>500.6927854753942</v>
      </c>
      <c r="I23" s="57">
        <f t="shared" si="2"/>
        <v>657.35308170090775</v>
      </c>
      <c r="J23" s="58">
        <v>1.0970000000000001E-3</v>
      </c>
      <c r="K23" s="59">
        <v>0.34250000000000003</v>
      </c>
      <c r="L23" s="52">
        <v>16</v>
      </c>
    </row>
    <row r="24" spans="2:12" s="52" customFormat="1" x14ac:dyDescent="0.2">
      <c r="B24" s="60">
        <v>5</v>
      </c>
      <c r="C24" s="56">
        <v>158.1</v>
      </c>
      <c r="D24" s="57">
        <v>670.42</v>
      </c>
      <c r="E24" s="57">
        <v>2085</v>
      </c>
      <c r="F24" s="57">
        <v>2755.42</v>
      </c>
      <c r="G24" s="57">
        <f t="shared" si="0"/>
        <v>160.15766841853798</v>
      </c>
      <c r="H24" s="57">
        <f t="shared" si="1"/>
        <v>498.08886765408505</v>
      </c>
      <c r="I24" s="57">
        <f t="shared" si="2"/>
        <v>658.24653607262303</v>
      </c>
      <c r="J24" s="58">
        <v>1.1000000000000001E-3</v>
      </c>
      <c r="K24" s="59">
        <v>0.3155</v>
      </c>
      <c r="L24" s="52">
        <v>17</v>
      </c>
    </row>
    <row r="25" spans="2:12" s="52" customFormat="1" x14ac:dyDescent="0.2">
      <c r="B25" s="60">
        <v>5.5</v>
      </c>
      <c r="C25" s="56">
        <v>161.99</v>
      </c>
      <c r="D25" s="57">
        <v>684.12</v>
      </c>
      <c r="E25" s="57">
        <v>2074.6999999999998</v>
      </c>
      <c r="F25" s="57">
        <v>2758.82</v>
      </c>
      <c r="G25" s="57">
        <f t="shared" si="0"/>
        <v>163.43048256091734</v>
      </c>
      <c r="H25" s="57">
        <f t="shared" si="1"/>
        <v>495.62828475871953</v>
      </c>
      <c r="I25" s="57">
        <f t="shared" si="2"/>
        <v>659.0587673196369</v>
      </c>
      <c r="J25" s="58">
        <v>1.1050000000000001E-3</v>
      </c>
      <c r="K25" s="59">
        <v>0.29249999999999998</v>
      </c>
      <c r="L25" s="52">
        <v>18</v>
      </c>
    </row>
    <row r="26" spans="2:12" s="52" customFormat="1" x14ac:dyDescent="0.2">
      <c r="B26" s="60">
        <v>6</v>
      </c>
      <c r="C26" s="56">
        <v>164.96</v>
      </c>
      <c r="D26" s="57">
        <v>697.06</v>
      </c>
      <c r="E26" s="57">
        <v>2064.9</v>
      </c>
      <c r="F26" s="57">
        <v>2761.96</v>
      </c>
      <c r="G26" s="57">
        <f t="shared" si="0"/>
        <v>166.52173913043478</v>
      </c>
      <c r="H26" s="57">
        <f t="shared" si="1"/>
        <v>493.28714763497373</v>
      </c>
      <c r="I26" s="57">
        <f t="shared" si="2"/>
        <v>659.80888676540849</v>
      </c>
      <c r="J26" s="58">
        <v>1.108E-3</v>
      </c>
      <c r="K26" s="59">
        <v>0.2727</v>
      </c>
      <c r="L26" s="52">
        <v>19</v>
      </c>
    </row>
    <row r="27" spans="2:12" s="52" customFormat="1" x14ac:dyDescent="0.2">
      <c r="B27" s="60">
        <v>6.5</v>
      </c>
      <c r="C27" s="56">
        <v>167.75</v>
      </c>
      <c r="D27" s="57">
        <v>709.29</v>
      </c>
      <c r="E27" s="57">
        <v>2055.5</v>
      </c>
      <c r="F27" s="57">
        <v>2764.79</v>
      </c>
      <c r="G27" s="57">
        <f t="shared" si="0"/>
        <v>169.44338270425226</v>
      </c>
      <c r="H27" s="57">
        <f t="shared" si="1"/>
        <v>491.04156712852364</v>
      </c>
      <c r="I27" s="57">
        <f t="shared" si="2"/>
        <v>660.4849498327759</v>
      </c>
      <c r="J27" s="58">
        <v>1.111E-3</v>
      </c>
      <c r="K27" s="59">
        <v>0.25519999999999998</v>
      </c>
      <c r="L27" s="52">
        <v>20</v>
      </c>
    </row>
    <row r="28" spans="2:12" s="52" customFormat="1" x14ac:dyDescent="0.2">
      <c r="B28" s="60">
        <v>7</v>
      </c>
      <c r="C28" s="56">
        <v>170.41</v>
      </c>
      <c r="D28" s="57">
        <v>720.94</v>
      </c>
      <c r="E28" s="57">
        <v>2046.5</v>
      </c>
      <c r="F28" s="57">
        <v>2767.44</v>
      </c>
      <c r="G28" s="57">
        <f t="shared" si="0"/>
        <v>172.22646918299094</v>
      </c>
      <c r="H28" s="57">
        <f t="shared" si="1"/>
        <v>488.89154323936935</v>
      </c>
      <c r="I28" s="57">
        <f t="shared" si="2"/>
        <v>661.11801242236027</v>
      </c>
      <c r="J28" s="58">
        <v>1.1150000000000001E-3</v>
      </c>
      <c r="K28" s="59">
        <v>0.24030000000000001</v>
      </c>
      <c r="L28" s="52">
        <v>21</v>
      </c>
    </row>
    <row r="29" spans="2:12" s="52" customFormat="1" x14ac:dyDescent="0.2">
      <c r="B29" s="60">
        <v>7.5</v>
      </c>
      <c r="C29" s="56">
        <v>172.94</v>
      </c>
      <c r="D29" s="57">
        <v>732.02</v>
      </c>
      <c r="E29" s="57">
        <v>2037.9</v>
      </c>
      <c r="F29" s="57">
        <v>2769.92</v>
      </c>
      <c r="G29" s="57">
        <f t="shared" si="0"/>
        <v>174.87338748208313</v>
      </c>
      <c r="H29" s="57">
        <f t="shared" si="1"/>
        <v>486.83707596751077</v>
      </c>
      <c r="I29" s="57">
        <f t="shared" si="2"/>
        <v>661.71046344959393</v>
      </c>
      <c r="J29" s="58">
        <v>1.1180000000000001E-3</v>
      </c>
      <c r="K29" s="59">
        <v>0.2268</v>
      </c>
      <c r="L29" s="52">
        <v>22</v>
      </c>
    </row>
    <row r="30" spans="2:12" s="52" customFormat="1" x14ac:dyDescent="0.2">
      <c r="B30" s="60">
        <v>8</v>
      </c>
      <c r="C30" s="56">
        <v>175.36</v>
      </c>
      <c r="D30" s="57">
        <v>742.64</v>
      </c>
      <c r="E30" s="57">
        <v>2029.5</v>
      </c>
      <c r="F30" s="57">
        <v>2772.14</v>
      </c>
      <c r="G30" s="57">
        <f t="shared" si="0"/>
        <v>177.41041567128522</v>
      </c>
      <c r="H30" s="57">
        <f t="shared" si="1"/>
        <v>484.83038700430006</v>
      </c>
      <c r="I30" s="57">
        <f t="shared" si="2"/>
        <v>662.24080267558531</v>
      </c>
      <c r="J30" s="58">
        <v>1.121E-3</v>
      </c>
      <c r="K30" s="59">
        <v>0.21479999999999999</v>
      </c>
      <c r="L30" s="52">
        <v>23</v>
      </c>
    </row>
    <row r="31" spans="2:12" s="52" customFormat="1" x14ac:dyDescent="0.2">
      <c r="B31" s="60">
        <v>8.5</v>
      </c>
      <c r="C31" s="56">
        <v>177.66</v>
      </c>
      <c r="D31" s="57">
        <v>752.81</v>
      </c>
      <c r="E31" s="57">
        <v>2020.9</v>
      </c>
      <c r="F31" s="57">
        <v>2773.71</v>
      </c>
      <c r="G31" s="57">
        <f t="shared" si="0"/>
        <v>179.8399426660296</v>
      </c>
      <c r="H31" s="57">
        <f t="shared" si="1"/>
        <v>482.77591973244148</v>
      </c>
      <c r="I31" s="57">
        <f t="shared" si="2"/>
        <v>662.61586239847111</v>
      </c>
      <c r="J31" s="58">
        <v>1.124E-3</v>
      </c>
      <c r="K31" s="59">
        <v>0.20400000000000001</v>
      </c>
      <c r="L31" s="52">
        <v>24</v>
      </c>
    </row>
    <row r="32" spans="2:12" s="52" customFormat="1" x14ac:dyDescent="0.2">
      <c r="B32" s="60">
        <v>9</v>
      </c>
      <c r="C32" s="56">
        <v>179.88</v>
      </c>
      <c r="D32" s="57">
        <v>762.61</v>
      </c>
      <c r="E32" s="57">
        <v>2013.6</v>
      </c>
      <c r="F32" s="57">
        <v>2776.21</v>
      </c>
      <c r="G32" s="57">
        <f t="shared" si="0"/>
        <v>182.18107978977545</v>
      </c>
      <c r="H32" s="57">
        <f t="shared" si="1"/>
        <v>481.03201146679407</v>
      </c>
      <c r="I32" s="57">
        <f t="shared" si="2"/>
        <v>663.21309125656956</v>
      </c>
      <c r="J32" s="58">
        <v>1.127E-3</v>
      </c>
      <c r="K32" s="59">
        <v>0.1943</v>
      </c>
      <c r="L32" s="52">
        <v>25</v>
      </c>
    </row>
    <row r="33" spans="2:12" s="52" customFormat="1" x14ac:dyDescent="0.2">
      <c r="B33" s="60">
        <v>10</v>
      </c>
      <c r="C33" s="56">
        <v>184.07</v>
      </c>
      <c r="D33" s="57">
        <v>781.13</v>
      </c>
      <c r="E33" s="57">
        <v>1998.5</v>
      </c>
      <c r="F33" s="57">
        <v>2779.63</v>
      </c>
      <c r="G33" s="57">
        <f t="shared" si="0"/>
        <v>186.60535117056855</v>
      </c>
      <c r="H33" s="57">
        <f t="shared" si="1"/>
        <v>477.4247491638796</v>
      </c>
      <c r="I33" s="57">
        <f t="shared" si="2"/>
        <v>664.03010033444821</v>
      </c>
      <c r="J33" s="58">
        <v>1.1329999999999999E-3</v>
      </c>
      <c r="K33" s="59">
        <v>0.1774</v>
      </c>
      <c r="L33" s="52">
        <v>26</v>
      </c>
    </row>
    <row r="34" spans="2:12" s="52" customFormat="1" x14ac:dyDescent="0.2">
      <c r="B34" s="60">
        <v>11</v>
      </c>
      <c r="C34" s="56">
        <v>187.96</v>
      </c>
      <c r="D34" s="57">
        <v>798.43</v>
      </c>
      <c r="E34" s="57">
        <v>1984.3</v>
      </c>
      <c r="F34" s="57">
        <v>2782.73</v>
      </c>
      <c r="G34" s="57">
        <f t="shared" si="0"/>
        <v>190.73817486860963</v>
      </c>
      <c r="H34" s="57">
        <f t="shared" si="1"/>
        <v>474.03248924988054</v>
      </c>
      <c r="I34" s="57">
        <f t="shared" si="2"/>
        <v>664.77066411849023</v>
      </c>
      <c r="J34" s="58">
        <v>1.1379999999999999E-3</v>
      </c>
      <c r="K34" s="59">
        <v>0.16320000000000001</v>
      </c>
      <c r="L34" s="52">
        <v>27</v>
      </c>
    </row>
    <row r="35" spans="2:12" s="52" customFormat="1" x14ac:dyDescent="0.2">
      <c r="B35" s="60">
        <v>12</v>
      </c>
      <c r="C35" s="56">
        <v>191.61</v>
      </c>
      <c r="D35" s="57">
        <v>814.7</v>
      </c>
      <c r="E35" s="57">
        <v>1970.7</v>
      </c>
      <c r="F35" s="57">
        <v>2785.4</v>
      </c>
      <c r="G35" s="57">
        <f t="shared" si="0"/>
        <v>194.62494027711421</v>
      </c>
      <c r="H35" s="57">
        <f t="shared" si="1"/>
        <v>470.78356426182518</v>
      </c>
      <c r="I35" s="57">
        <f t="shared" si="2"/>
        <v>665.40850453893938</v>
      </c>
      <c r="J35" s="58">
        <v>1.1429999999999999E-3</v>
      </c>
      <c r="K35" s="59">
        <v>0.15110000000000001</v>
      </c>
      <c r="L35" s="52">
        <v>28</v>
      </c>
    </row>
    <row r="36" spans="2:12" s="52" customFormat="1" x14ac:dyDescent="0.2">
      <c r="B36" s="60">
        <v>13</v>
      </c>
      <c r="C36" s="56">
        <v>195.04</v>
      </c>
      <c r="D36" s="57">
        <v>830.08</v>
      </c>
      <c r="E36" s="57">
        <v>1957.7</v>
      </c>
      <c r="F36" s="57">
        <v>2787.78</v>
      </c>
      <c r="G36" s="57">
        <f t="shared" si="0"/>
        <v>198.29909221213569</v>
      </c>
      <c r="H36" s="57">
        <f t="shared" si="1"/>
        <v>467.67797419971333</v>
      </c>
      <c r="I36" s="57">
        <f t="shared" si="2"/>
        <v>665.97706641184902</v>
      </c>
      <c r="J36" s="58">
        <v>1.1479999999999999E-3</v>
      </c>
      <c r="K36" s="59">
        <v>0.14069999999999999</v>
      </c>
      <c r="L36" s="52">
        <v>29</v>
      </c>
    </row>
    <row r="37" spans="2:12" s="52" customFormat="1" x14ac:dyDescent="0.2">
      <c r="B37" s="60">
        <v>14</v>
      </c>
      <c r="C37" s="56">
        <v>198.29</v>
      </c>
      <c r="D37" s="57">
        <v>844.67</v>
      </c>
      <c r="E37" s="57">
        <v>1945.2</v>
      </c>
      <c r="F37" s="57">
        <v>2789.87</v>
      </c>
      <c r="G37" s="57">
        <f t="shared" si="0"/>
        <v>201.78451982799808</v>
      </c>
      <c r="H37" s="57">
        <f t="shared" si="1"/>
        <v>464.69182990922121</v>
      </c>
      <c r="I37" s="57">
        <f t="shared" si="2"/>
        <v>666.47634973721927</v>
      </c>
      <c r="J37" s="58">
        <v>1.1529999999999999E-3</v>
      </c>
      <c r="K37" s="59">
        <v>0.13170000000000001</v>
      </c>
      <c r="L37" s="52">
        <v>30</v>
      </c>
    </row>
    <row r="38" spans="2:12" s="52" customFormat="1" x14ac:dyDescent="0.2">
      <c r="B38" s="60">
        <v>15</v>
      </c>
      <c r="C38" s="56">
        <v>201.37</v>
      </c>
      <c r="D38" s="57">
        <v>858.56</v>
      </c>
      <c r="E38" s="57">
        <v>1933.2</v>
      </c>
      <c r="F38" s="57">
        <v>2791.76</v>
      </c>
      <c r="G38" s="57">
        <f t="shared" si="0"/>
        <v>205.10272336359293</v>
      </c>
      <c r="H38" s="57">
        <f t="shared" si="1"/>
        <v>461.82513139034882</v>
      </c>
      <c r="I38" s="57">
        <f t="shared" si="2"/>
        <v>666.9278547539418</v>
      </c>
      <c r="J38" s="58">
        <v>1.158E-3</v>
      </c>
      <c r="K38" s="59">
        <v>0.1237</v>
      </c>
      <c r="L38" s="52">
        <v>31</v>
      </c>
    </row>
    <row r="39" spans="2:12" s="52" customFormat="1" x14ac:dyDescent="0.2">
      <c r="B39" s="60">
        <v>16</v>
      </c>
      <c r="C39" s="56">
        <v>204.31</v>
      </c>
      <c r="D39" s="57">
        <v>871.84</v>
      </c>
      <c r="E39" s="57">
        <v>1921.5</v>
      </c>
      <c r="F39" s="57">
        <v>2793.34</v>
      </c>
      <c r="G39" s="57">
        <f t="shared" ref="G39:G65" si="3">D39/4.186</f>
        <v>208.27520305781175</v>
      </c>
      <c r="H39" s="57">
        <f t="shared" ref="H39:H65" si="4">E39/4.186</f>
        <v>459.03010033444815</v>
      </c>
      <c r="I39" s="57">
        <f t="shared" ref="I39:I65" si="5">F39/4.186</f>
        <v>667.30530339225993</v>
      </c>
      <c r="J39" s="58">
        <v>1.163E-3</v>
      </c>
      <c r="K39" s="59">
        <v>0.1166</v>
      </c>
      <c r="L39" s="52">
        <v>32</v>
      </c>
    </row>
    <row r="40" spans="2:12" s="52" customFormat="1" x14ac:dyDescent="0.2">
      <c r="B40" s="60">
        <v>17</v>
      </c>
      <c r="C40" s="56">
        <v>207.11</v>
      </c>
      <c r="D40" s="57">
        <v>884.58</v>
      </c>
      <c r="E40" s="57">
        <v>1910.3</v>
      </c>
      <c r="F40" s="57">
        <v>2794.88</v>
      </c>
      <c r="G40" s="57">
        <f t="shared" si="3"/>
        <v>211.31868131868134</v>
      </c>
      <c r="H40" s="57">
        <f t="shared" si="4"/>
        <v>456.35451505016721</v>
      </c>
      <c r="I40" s="57">
        <f t="shared" si="5"/>
        <v>667.67319636884861</v>
      </c>
      <c r="J40" s="58">
        <v>1.1670000000000001E-3</v>
      </c>
      <c r="K40" s="59">
        <v>0.1103</v>
      </c>
      <c r="L40" s="52">
        <v>33</v>
      </c>
    </row>
    <row r="41" spans="2:12" s="52" customFormat="1" x14ac:dyDescent="0.2">
      <c r="B41" s="60">
        <v>18</v>
      </c>
      <c r="C41" s="56">
        <v>209.8</v>
      </c>
      <c r="D41" s="57">
        <v>896.81</v>
      </c>
      <c r="E41" s="57">
        <v>1899.3</v>
      </c>
      <c r="F41" s="57">
        <v>2796.11</v>
      </c>
      <c r="G41" s="57">
        <f t="shared" si="3"/>
        <v>214.24032489249879</v>
      </c>
      <c r="H41" s="57">
        <f t="shared" si="4"/>
        <v>453.72670807453414</v>
      </c>
      <c r="I41" s="57">
        <f t="shared" si="5"/>
        <v>667.96703296703299</v>
      </c>
      <c r="J41" s="58">
        <v>1.1720000000000001E-3</v>
      </c>
      <c r="K41" s="59">
        <v>0.1047</v>
      </c>
      <c r="L41" s="52">
        <v>34</v>
      </c>
    </row>
    <row r="42" spans="2:12" s="52" customFormat="1" x14ac:dyDescent="0.2">
      <c r="B42" s="60">
        <v>19</v>
      </c>
      <c r="C42" s="56">
        <v>212.37</v>
      </c>
      <c r="D42" s="57">
        <v>908.59</v>
      </c>
      <c r="E42" s="57">
        <v>1888.6</v>
      </c>
      <c r="F42" s="57">
        <v>2797.19</v>
      </c>
      <c r="G42" s="57">
        <f t="shared" si="3"/>
        <v>217.05446727185858</v>
      </c>
      <c r="H42" s="57">
        <f t="shared" si="4"/>
        <v>451.17056856187287</v>
      </c>
      <c r="I42" s="57">
        <f t="shared" si="5"/>
        <v>668.22503583373145</v>
      </c>
      <c r="J42" s="58">
        <v>1.176E-3</v>
      </c>
      <c r="K42" s="59">
        <v>9.9500000000000005E-2</v>
      </c>
      <c r="L42" s="52">
        <v>35</v>
      </c>
    </row>
    <row r="43" spans="2:12" s="52" customFormat="1" x14ac:dyDescent="0.2">
      <c r="B43" s="60">
        <v>20</v>
      </c>
      <c r="C43" s="56">
        <v>214.85</v>
      </c>
      <c r="D43" s="57">
        <v>919.96</v>
      </c>
      <c r="E43" s="57">
        <v>1878.2</v>
      </c>
      <c r="F43" s="57">
        <v>2798.16</v>
      </c>
      <c r="G43" s="57">
        <f t="shared" si="3"/>
        <v>219.77066411849023</v>
      </c>
      <c r="H43" s="57">
        <f t="shared" si="4"/>
        <v>448.6860965121835</v>
      </c>
      <c r="I43" s="57">
        <f t="shared" si="5"/>
        <v>668.45676063067367</v>
      </c>
      <c r="J43" s="58">
        <v>1.1800000000000001E-3</v>
      </c>
      <c r="K43" s="59">
        <v>9.4890000000000002E-2</v>
      </c>
      <c r="L43" s="52">
        <v>36</v>
      </c>
    </row>
    <row r="44" spans="2:12" s="52" customFormat="1" x14ac:dyDescent="0.2">
      <c r="B44" s="60">
        <v>21</v>
      </c>
      <c r="C44" s="56">
        <v>217.24</v>
      </c>
      <c r="D44" s="57">
        <v>930.95</v>
      </c>
      <c r="E44" s="57">
        <v>1868.1</v>
      </c>
      <c r="F44" s="57">
        <v>2799.05</v>
      </c>
      <c r="G44" s="57">
        <f t="shared" si="3"/>
        <v>222.39608217869088</v>
      </c>
      <c r="H44" s="57">
        <f t="shared" si="4"/>
        <v>446.2732919254658</v>
      </c>
      <c r="I44" s="57">
        <f t="shared" si="5"/>
        <v>668.66937410415676</v>
      </c>
      <c r="J44" s="58">
        <v>1.1850000000000001E-3</v>
      </c>
      <c r="K44" s="59">
        <v>9.0650000000000008E-2</v>
      </c>
      <c r="L44" s="52">
        <v>37</v>
      </c>
    </row>
    <row r="45" spans="2:12" s="52" customFormat="1" x14ac:dyDescent="0.2">
      <c r="B45" s="60">
        <v>22</v>
      </c>
      <c r="C45" s="56">
        <v>219.55</v>
      </c>
      <c r="D45" s="57">
        <v>941.6</v>
      </c>
      <c r="E45" s="57">
        <v>1858.2</v>
      </c>
      <c r="F45" s="57">
        <v>2799.8</v>
      </c>
      <c r="G45" s="57">
        <f t="shared" si="3"/>
        <v>224.94027711419017</v>
      </c>
      <c r="H45" s="57">
        <f t="shared" si="4"/>
        <v>443.90826564739609</v>
      </c>
      <c r="I45" s="57">
        <f t="shared" si="5"/>
        <v>668.84854276158626</v>
      </c>
      <c r="J45" s="58">
        <v>1.189E-3</v>
      </c>
      <c r="K45" s="59">
        <v>8.677E-2</v>
      </c>
      <c r="L45" s="52">
        <v>38</v>
      </c>
    </row>
    <row r="46" spans="2:12" s="52" customFormat="1" x14ac:dyDescent="0.2">
      <c r="B46" s="60">
        <v>23</v>
      </c>
      <c r="C46" s="56">
        <v>221.78</v>
      </c>
      <c r="D46" s="57">
        <v>951.93</v>
      </c>
      <c r="E46" s="57">
        <v>1848.5</v>
      </c>
      <c r="F46" s="57">
        <v>2800.43</v>
      </c>
      <c r="G46" s="57">
        <f t="shared" si="3"/>
        <v>227.40802675585283</v>
      </c>
      <c r="H46" s="57">
        <f t="shared" si="4"/>
        <v>441.59101767797421</v>
      </c>
      <c r="I46" s="57">
        <f t="shared" si="5"/>
        <v>668.99904443382707</v>
      </c>
      <c r="J46" s="58">
        <v>1.193E-3</v>
      </c>
      <c r="K46" s="59">
        <v>8.320000000000001E-2</v>
      </c>
      <c r="L46" s="52">
        <v>39</v>
      </c>
    </row>
    <row r="47" spans="2:12" s="52" customFormat="1" x14ac:dyDescent="0.2">
      <c r="B47" s="60">
        <v>24</v>
      </c>
      <c r="C47" s="56">
        <v>223.94</v>
      </c>
      <c r="D47" s="57">
        <v>961.96</v>
      </c>
      <c r="E47" s="57">
        <v>1839</v>
      </c>
      <c r="F47" s="57">
        <v>2800.96</v>
      </c>
      <c r="G47" s="57">
        <f t="shared" si="3"/>
        <v>229.80410893454373</v>
      </c>
      <c r="H47" s="57">
        <f t="shared" si="4"/>
        <v>439.3215480172002</v>
      </c>
      <c r="I47" s="57">
        <f t="shared" si="5"/>
        <v>669.12565695174396</v>
      </c>
      <c r="J47" s="58">
        <v>1.1969999999999999E-3</v>
      </c>
      <c r="K47" s="59">
        <v>7.9909999999999995E-2</v>
      </c>
      <c r="L47" s="52">
        <v>40</v>
      </c>
    </row>
    <row r="48" spans="2:12" s="52" customFormat="1" x14ac:dyDescent="0.2">
      <c r="B48" s="60">
        <v>25</v>
      </c>
      <c r="C48" s="56">
        <v>226.04</v>
      </c>
      <c r="D48" s="57">
        <v>971.72</v>
      </c>
      <c r="E48" s="57">
        <v>1829.6</v>
      </c>
      <c r="F48" s="57">
        <v>2801.32</v>
      </c>
      <c r="G48" s="57">
        <f t="shared" si="3"/>
        <v>232.13569039655997</v>
      </c>
      <c r="H48" s="57">
        <f t="shared" si="4"/>
        <v>437.0759675107501</v>
      </c>
      <c r="I48" s="57">
        <f t="shared" si="5"/>
        <v>669.21165790731015</v>
      </c>
      <c r="J48" s="58">
        <v>1.201E-3</v>
      </c>
      <c r="K48" s="59">
        <v>7.6859999999999998E-2</v>
      </c>
      <c r="L48" s="52">
        <v>41</v>
      </c>
    </row>
    <row r="49" spans="2:15" s="52" customFormat="1" x14ac:dyDescent="0.2">
      <c r="B49" s="60">
        <v>26</v>
      </c>
      <c r="C49" s="56">
        <v>228.07</v>
      </c>
      <c r="D49" s="57">
        <v>981.22</v>
      </c>
      <c r="E49" s="57">
        <v>1820.5</v>
      </c>
      <c r="F49" s="57">
        <v>2801.72</v>
      </c>
      <c r="G49" s="57">
        <f t="shared" si="3"/>
        <v>234.40516005733397</v>
      </c>
      <c r="H49" s="57">
        <f t="shared" si="4"/>
        <v>434.90205446727185</v>
      </c>
      <c r="I49" s="57">
        <f t="shared" si="5"/>
        <v>669.3072145246058</v>
      </c>
      <c r="J49" s="58">
        <v>1.2049999999999999E-3</v>
      </c>
      <c r="K49" s="59">
        <v>7.4020000000000002E-2</v>
      </c>
      <c r="L49" s="52">
        <v>42</v>
      </c>
    </row>
    <row r="50" spans="2:15" s="52" customFormat="1" x14ac:dyDescent="0.2">
      <c r="B50" s="60">
        <v>27</v>
      </c>
      <c r="C50" s="56">
        <v>230.05</v>
      </c>
      <c r="D50" s="57">
        <v>990.48</v>
      </c>
      <c r="E50" s="57">
        <v>1811.5</v>
      </c>
      <c r="F50" s="57">
        <v>2801.98</v>
      </c>
      <c r="G50" s="57">
        <f t="shared" si="3"/>
        <v>236.61729574773054</v>
      </c>
      <c r="H50" s="57">
        <f t="shared" si="4"/>
        <v>432.75203057811751</v>
      </c>
      <c r="I50" s="57">
        <f t="shared" si="5"/>
        <v>669.36932632584808</v>
      </c>
      <c r="J50" s="58">
        <v>1.2080000000000001E-3</v>
      </c>
      <c r="K50" s="59">
        <v>7.1389999999999995E-2</v>
      </c>
      <c r="L50" s="52">
        <v>43</v>
      </c>
    </row>
    <row r="51" spans="2:15" s="52" customFormat="1" x14ac:dyDescent="0.2">
      <c r="B51" s="60">
        <v>28</v>
      </c>
      <c r="C51" s="56">
        <v>231.97</v>
      </c>
      <c r="D51" s="57">
        <v>999.53</v>
      </c>
      <c r="E51" s="57">
        <v>1802.6</v>
      </c>
      <c r="F51" s="57">
        <v>2802.13</v>
      </c>
      <c r="G51" s="57">
        <f t="shared" si="3"/>
        <v>238.77926421404683</v>
      </c>
      <c r="H51" s="57">
        <f t="shared" si="4"/>
        <v>430.62589584328714</v>
      </c>
      <c r="I51" s="57">
        <f t="shared" si="5"/>
        <v>669.405160057334</v>
      </c>
      <c r="J51" s="58">
        <v>1.212E-3</v>
      </c>
      <c r="K51" s="59">
        <v>6.8930000000000005E-2</v>
      </c>
      <c r="L51" s="52">
        <v>44</v>
      </c>
    </row>
    <row r="52" spans="2:15" s="52" customFormat="1" x14ac:dyDescent="0.2">
      <c r="B52" s="60">
        <v>29</v>
      </c>
      <c r="C52" s="56">
        <v>233.84</v>
      </c>
      <c r="D52" s="57">
        <v>1008.4</v>
      </c>
      <c r="E52" s="57">
        <v>1793.9</v>
      </c>
      <c r="F52" s="57">
        <v>2802.3</v>
      </c>
      <c r="G52" s="57">
        <f t="shared" si="3"/>
        <v>240.89823220258003</v>
      </c>
      <c r="H52" s="57">
        <f t="shared" si="4"/>
        <v>428.54753941710464</v>
      </c>
      <c r="I52" s="57">
        <f t="shared" si="5"/>
        <v>669.44577161968471</v>
      </c>
      <c r="J52" s="58">
        <v>1.2160000000000001E-3</v>
      </c>
      <c r="K52" s="59">
        <v>6.6629999999999995E-2</v>
      </c>
      <c r="L52" s="52">
        <v>45</v>
      </c>
    </row>
    <row r="53" spans="2:15" s="52" customFormat="1" x14ac:dyDescent="0.2">
      <c r="B53" s="60">
        <v>31</v>
      </c>
      <c r="C53" s="56">
        <v>237.45</v>
      </c>
      <c r="D53" s="57">
        <v>1025.4000000000001</v>
      </c>
      <c r="E53" s="57">
        <v>1776.9</v>
      </c>
      <c r="F53" s="57">
        <v>2802.3</v>
      </c>
      <c r="G53" s="57">
        <f t="shared" si="3"/>
        <v>244.95938843764932</v>
      </c>
      <c r="H53" s="57">
        <f t="shared" si="4"/>
        <v>424.48638318203541</v>
      </c>
      <c r="I53" s="57">
        <f t="shared" si="5"/>
        <v>669.44577161968471</v>
      </c>
      <c r="J53" s="58">
        <v>1.2229999999999999E-3</v>
      </c>
      <c r="K53" s="59">
        <v>6.2440000000000002E-2</v>
      </c>
      <c r="L53" s="52">
        <v>46</v>
      </c>
    </row>
    <row r="54" spans="2:15" s="52" customFormat="1" x14ac:dyDescent="0.2">
      <c r="B54" s="60">
        <v>33</v>
      </c>
      <c r="C54" s="56">
        <v>240.88</v>
      </c>
      <c r="D54" s="57">
        <v>1041.8</v>
      </c>
      <c r="E54" s="57">
        <v>1760.3</v>
      </c>
      <c r="F54" s="57">
        <v>2802.1</v>
      </c>
      <c r="G54" s="57">
        <f t="shared" si="3"/>
        <v>248.87720974677495</v>
      </c>
      <c r="H54" s="57">
        <f t="shared" si="4"/>
        <v>420.52078356426182</v>
      </c>
      <c r="I54" s="57">
        <f t="shared" si="5"/>
        <v>669.39799331103677</v>
      </c>
      <c r="J54" s="58">
        <v>1.2310000000000001E-3</v>
      </c>
      <c r="K54" s="59">
        <v>5.8729999999999997E-2</v>
      </c>
      <c r="L54" s="52">
        <v>47</v>
      </c>
    </row>
    <row r="55" spans="2:15" s="52" customFormat="1" x14ac:dyDescent="0.2">
      <c r="B55" s="60">
        <v>35</v>
      </c>
      <c r="C55" s="56">
        <v>244.16</v>
      </c>
      <c r="D55" s="57">
        <v>1057.5999999999999</v>
      </c>
      <c r="E55" s="57">
        <v>1744.1</v>
      </c>
      <c r="F55" s="57">
        <v>2801.7</v>
      </c>
      <c r="G55" s="57">
        <f t="shared" si="3"/>
        <v>252.65169612995697</v>
      </c>
      <c r="H55" s="57">
        <f t="shared" si="4"/>
        <v>416.65074056378404</v>
      </c>
      <c r="I55" s="57">
        <f t="shared" si="5"/>
        <v>669.30243669374102</v>
      </c>
      <c r="J55" s="58">
        <v>1.238E-3</v>
      </c>
      <c r="K55" s="59">
        <v>5.5410000000000001E-2</v>
      </c>
      <c r="L55" s="52">
        <v>48</v>
      </c>
      <c r="M55" s="58"/>
      <c r="O55" s="59"/>
    </row>
    <row r="56" spans="2:15" s="52" customFormat="1" x14ac:dyDescent="0.2">
      <c r="B56" s="60">
        <v>37</v>
      </c>
      <c r="C56" s="56">
        <v>247.31</v>
      </c>
      <c r="D56" s="57">
        <v>1072.7</v>
      </c>
      <c r="E56" s="57">
        <v>1728.4</v>
      </c>
      <c r="F56" s="57">
        <v>2801.1</v>
      </c>
      <c r="G56" s="57">
        <f t="shared" si="3"/>
        <v>256.25895843287151</v>
      </c>
      <c r="H56" s="57">
        <f t="shared" si="4"/>
        <v>412.90014333492599</v>
      </c>
      <c r="I56" s="57">
        <f t="shared" si="5"/>
        <v>669.15910176779744</v>
      </c>
      <c r="J56" s="58">
        <v>1.245E-3</v>
      </c>
      <c r="K56" s="59">
        <v>5.2440000000000001E-2</v>
      </c>
      <c r="L56" s="52">
        <v>49</v>
      </c>
      <c r="M56" s="58"/>
      <c r="O56" s="59"/>
    </row>
    <row r="57" spans="2:15" s="52" customFormat="1" x14ac:dyDescent="0.2">
      <c r="B57" s="60">
        <v>39</v>
      </c>
      <c r="C57" s="56">
        <v>250.33</v>
      </c>
      <c r="D57" s="57">
        <v>1087.4000000000001</v>
      </c>
      <c r="E57" s="57">
        <v>1712.9</v>
      </c>
      <c r="F57" s="57">
        <v>2800.3</v>
      </c>
      <c r="G57" s="57">
        <f t="shared" si="3"/>
        <v>259.77066411849023</v>
      </c>
      <c r="H57" s="57">
        <f t="shared" si="4"/>
        <v>409.19732441471575</v>
      </c>
      <c r="I57" s="57">
        <f t="shared" si="5"/>
        <v>668.96798853320593</v>
      </c>
      <c r="J57" s="58">
        <v>1.2520000000000001E-3</v>
      </c>
      <c r="K57" s="59">
        <v>4.9750000000000003E-2</v>
      </c>
      <c r="L57" s="52">
        <v>50</v>
      </c>
      <c r="M57" s="58"/>
      <c r="O57" s="59"/>
    </row>
    <row r="58" spans="2:15" s="52" customFormat="1" x14ac:dyDescent="0.2">
      <c r="B58" s="60">
        <v>41</v>
      </c>
      <c r="C58" s="56">
        <v>253.24</v>
      </c>
      <c r="D58" s="57">
        <v>1101.5999999999999</v>
      </c>
      <c r="E58" s="57">
        <v>1697.8</v>
      </c>
      <c r="F58" s="57">
        <v>2799.4</v>
      </c>
      <c r="G58" s="57">
        <f t="shared" si="3"/>
        <v>263.16292403248923</v>
      </c>
      <c r="H58" s="57">
        <f t="shared" si="4"/>
        <v>405.59006211180122</v>
      </c>
      <c r="I58" s="57">
        <f t="shared" si="5"/>
        <v>668.7529861442905</v>
      </c>
      <c r="J58" s="58">
        <v>1.258E-3</v>
      </c>
      <c r="K58" s="59">
        <v>4.7309999999999998E-2</v>
      </c>
      <c r="L58" s="52">
        <v>51</v>
      </c>
      <c r="M58" s="58"/>
      <c r="O58" s="59"/>
    </row>
    <row r="59" spans="2:15" s="52" customFormat="1" x14ac:dyDescent="0.2">
      <c r="B59" s="60">
        <v>43</v>
      </c>
      <c r="C59" s="56">
        <v>256.05</v>
      </c>
      <c r="D59" s="57">
        <v>1115.4000000000001</v>
      </c>
      <c r="E59" s="57">
        <v>1682.9</v>
      </c>
      <c r="F59" s="57">
        <v>2798.3</v>
      </c>
      <c r="G59" s="57">
        <f t="shared" si="3"/>
        <v>266.45962732919259</v>
      </c>
      <c r="H59" s="57">
        <f t="shared" si="4"/>
        <v>402.03057811753467</v>
      </c>
      <c r="I59" s="57">
        <f t="shared" si="5"/>
        <v>668.49020544672726</v>
      </c>
      <c r="J59" s="58">
        <v>1.2650000000000001E-3</v>
      </c>
      <c r="K59" s="59">
        <v>4.5080000000000002E-2</v>
      </c>
      <c r="L59" s="52">
        <v>52</v>
      </c>
      <c r="M59" s="58"/>
      <c r="O59" s="59"/>
    </row>
    <row r="60" spans="2:15" s="52" customFormat="1" x14ac:dyDescent="0.2">
      <c r="B60" s="60">
        <v>45</v>
      </c>
      <c r="C60" s="56">
        <v>258.75</v>
      </c>
      <c r="D60" s="57">
        <v>1128.8</v>
      </c>
      <c r="E60" s="57">
        <v>1668.2</v>
      </c>
      <c r="F60" s="57">
        <v>2797</v>
      </c>
      <c r="G60" s="57">
        <f t="shared" si="3"/>
        <v>269.66077400860007</v>
      </c>
      <c r="H60" s="57">
        <f t="shared" si="4"/>
        <v>398.51887243191595</v>
      </c>
      <c r="I60" s="57">
        <f t="shared" si="5"/>
        <v>668.17964644051597</v>
      </c>
      <c r="J60" s="58">
        <v>1.2719999999999999E-3</v>
      </c>
      <c r="K60" s="59">
        <v>4.3040000000000002E-2</v>
      </c>
      <c r="L60" s="52">
        <v>53</v>
      </c>
      <c r="M60" s="58"/>
      <c r="O60" s="59"/>
    </row>
    <row r="61" spans="2:15" s="52" customFormat="1" x14ac:dyDescent="0.2">
      <c r="B61" s="60">
        <v>47</v>
      </c>
      <c r="C61" s="56">
        <v>261.37</v>
      </c>
      <c r="D61" s="57">
        <v>1141.8</v>
      </c>
      <c r="E61" s="57">
        <v>1653.9</v>
      </c>
      <c r="F61" s="57">
        <v>2795.7</v>
      </c>
      <c r="G61" s="57">
        <f t="shared" si="3"/>
        <v>272.76636407071192</v>
      </c>
      <c r="H61" s="57">
        <f t="shared" si="4"/>
        <v>395.10272336359293</v>
      </c>
      <c r="I61" s="57">
        <f t="shared" si="5"/>
        <v>667.86908743430479</v>
      </c>
      <c r="J61" s="58">
        <v>1.279E-3</v>
      </c>
      <c r="K61" s="59">
        <v>4.1160000000000002E-2</v>
      </c>
      <c r="L61" s="52">
        <v>54</v>
      </c>
      <c r="M61" s="58"/>
      <c r="O61" s="59"/>
    </row>
    <row r="62" spans="2:15" s="52" customFormat="1" x14ac:dyDescent="0.2">
      <c r="B62" s="60">
        <v>49</v>
      </c>
      <c r="C62" s="56">
        <v>263.19</v>
      </c>
      <c r="D62" s="57">
        <v>1154.5</v>
      </c>
      <c r="E62" s="57">
        <v>1639.7</v>
      </c>
      <c r="F62" s="57">
        <v>2794.2</v>
      </c>
      <c r="G62" s="57">
        <f t="shared" si="3"/>
        <v>275.80028666985191</v>
      </c>
      <c r="H62" s="57">
        <f t="shared" si="4"/>
        <v>391.71046344959387</v>
      </c>
      <c r="I62" s="57">
        <f t="shared" si="5"/>
        <v>667.51075011944579</v>
      </c>
      <c r="J62" s="58">
        <v>1.286E-3</v>
      </c>
      <c r="K62" s="59">
        <v>3.943E-2</v>
      </c>
      <c r="L62" s="52">
        <v>55</v>
      </c>
      <c r="M62" s="58"/>
      <c r="O62" s="59"/>
    </row>
    <row r="63" spans="2:15" s="52" customFormat="1" x14ac:dyDescent="0.2">
      <c r="B63" s="60">
        <v>54</v>
      </c>
      <c r="C63" s="56">
        <v>269.93</v>
      </c>
      <c r="D63" s="57">
        <v>1184.9000000000001</v>
      </c>
      <c r="E63" s="57">
        <v>1605</v>
      </c>
      <c r="F63" s="57">
        <v>2789.9</v>
      </c>
      <c r="G63" s="57">
        <f t="shared" si="3"/>
        <v>283.06258958432875</v>
      </c>
      <c r="H63" s="57">
        <f t="shared" si="4"/>
        <v>383.42092689918775</v>
      </c>
      <c r="I63" s="57">
        <f t="shared" si="5"/>
        <v>666.4835164835165</v>
      </c>
      <c r="J63" s="58">
        <v>1.302E-3</v>
      </c>
      <c r="K63" s="59">
        <v>3.5630000000000002E-2</v>
      </c>
      <c r="L63" s="52">
        <v>56</v>
      </c>
      <c r="M63" s="58"/>
      <c r="O63" s="59"/>
    </row>
    <row r="64" spans="2:15" s="52" customFormat="1" x14ac:dyDescent="0.2">
      <c r="B64" s="60">
        <v>59</v>
      </c>
      <c r="C64" s="56">
        <v>275.55</v>
      </c>
      <c r="D64" s="57">
        <v>1213.7</v>
      </c>
      <c r="E64" s="57">
        <v>1571.3</v>
      </c>
      <c r="F64" s="57">
        <v>2785</v>
      </c>
      <c r="G64" s="57">
        <f t="shared" si="3"/>
        <v>289.94266602962256</v>
      </c>
      <c r="H64" s="57">
        <f t="shared" si="4"/>
        <v>375.37028189202101</v>
      </c>
      <c r="I64" s="57">
        <f t="shared" si="5"/>
        <v>665.31294792164363</v>
      </c>
      <c r="J64" s="58">
        <v>1.3190000000000001E-3</v>
      </c>
      <c r="K64" s="59">
        <v>3.2439999999999997E-2</v>
      </c>
      <c r="L64" s="52">
        <v>57</v>
      </c>
      <c r="M64" s="58"/>
      <c r="O64" s="59"/>
    </row>
    <row r="65" spans="2:15" s="52" customFormat="1" x14ac:dyDescent="0.2">
      <c r="B65" s="60">
        <v>64</v>
      </c>
      <c r="C65" s="56">
        <v>280.82</v>
      </c>
      <c r="D65" s="57">
        <v>1241.0999999999999</v>
      </c>
      <c r="E65" s="57">
        <v>1538.4</v>
      </c>
      <c r="F65" s="57">
        <v>2779.5</v>
      </c>
      <c r="G65" s="57">
        <f t="shared" si="3"/>
        <v>296.48829431438128</v>
      </c>
      <c r="H65" s="57">
        <f t="shared" si="4"/>
        <v>367.51075011944579</v>
      </c>
      <c r="I65" s="57">
        <f t="shared" si="5"/>
        <v>663.99904443382707</v>
      </c>
      <c r="J65" s="58">
        <v>1.335E-3</v>
      </c>
      <c r="K65" s="59">
        <v>2.972E-2</v>
      </c>
      <c r="L65" s="52">
        <v>58</v>
      </c>
      <c r="M65" s="58"/>
      <c r="O65" s="59"/>
    </row>
    <row r="66" spans="2:15" s="52" customFormat="1" x14ac:dyDescent="0.2">
      <c r="B66" s="60"/>
    </row>
    <row r="67" spans="2:15" x14ac:dyDescent="0.2">
      <c r="B67" s="61"/>
    </row>
    <row r="68" spans="2:15" x14ac:dyDescent="0.2">
      <c r="B68" s="61"/>
    </row>
    <row r="69" spans="2:15" x14ac:dyDescent="0.2">
      <c r="B69" s="61"/>
    </row>
    <row r="70" spans="2:15" x14ac:dyDescent="0.2">
      <c r="B70" s="61"/>
    </row>
    <row r="71" spans="2:15" x14ac:dyDescent="0.2">
      <c r="B71" s="61"/>
      <c r="C71" s="63"/>
      <c r="E71" s="56"/>
      <c r="G71" s="57"/>
      <c r="I71" s="57"/>
      <c r="J71" s="57"/>
      <c r="K71" s="57"/>
      <c r="M71" s="58"/>
      <c r="O71" s="59"/>
    </row>
    <row r="72" spans="2:15" x14ac:dyDescent="0.2">
      <c r="B72" s="61"/>
      <c r="C72" s="63"/>
      <c r="E72" s="56"/>
      <c r="G72" s="57"/>
      <c r="I72" s="57"/>
      <c r="J72" s="57"/>
      <c r="K72" s="57"/>
      <c r="M72" s="58"/>
      <c r="O72" s="59"/>
    </row>
    <row r="73" spans="2:15" x14ac:dyDescent="0.2">
      <c r="B73" s="61"/>
    </row>
    <row r="74" spans="2:15" x14ac:dyDescent="0.2">
      <c r="B74" s="61"/>
      <c r="C74" s="63"/>
      <c r="E74" s="56"/>
      <c r="G74" s="57"/>
      <c r="I74" s="57"/>
      <c r="J74" s="57"/>
      <c r="K74" s="57"/>
      <c r="M74" s="58"/>
      <c r="O74" s="59"/>
    </row>
    <row r="75" spans="2:15" x14ac:dyDescent="0.2">
      <c r="B75" s="61"/>
    </row>
    <row r="76" spans="2:15" x14ac:dyDescent="0.2">
      <c r="B76" s="61"/>
    </row>
    <row r="77" spans="2:15" x14ac:dyDescent="0.2">
      <c r="B77" s="61"/>
    </row>
    <row r="78" spans="2:15" x14ac:dyDescent="0.2">
      <c r="B78" s="61"/>
    </row>
    <row r="79" spans="2:15" x14ac:dyDescent="0.2">
      <c r="B79" s="61"/>
    </row>
    <row r="80" spans="2:15" x14ac:dyDescent="0.2">
      <c r="B80" s="61"/>
    </row>
    <row r="81" spans="2:2" x14ac:dyDescent="0.2">
      <c r="B81" s="61"/>
    </row>
    <row r="82" spans="2:2" x14ac:dyDescent="0.2">
      <c r="B82" s="61"/>
    </row>
    <row r="83" spans="2:2" x14ac:dyDescent="0.2">
      <c r="B83" s="61"/>
    </row>
    <row r="84" spans="2:2" x14ac:dyDescent="0.2">
      <c r="B84" s="61"/>
    </row>
    <row r="85" spans="2:2" x14ac:dyDescent="0.2">
      <c r="B85" s="61"/>
    </row>
    <row r="86" spans="2:2" x14ac:dyDescent="0.2">
      <c r="B86" s="61"/>
    </row>
    <row r="87" spans="2:2" x14ac:dyDescent="0.2">
      <c r="B87" s="61"/>
    </row>
    <row r="88" spans="2:2" x14ac:dyDescent="0.2">
      <c r="B88" s="61"/>
    </row>
    <row r="89" spans="2:2" x14ac:dyDescent="0.2">
      <c r="B89" s="61"/>
    </row>
    <row r="90" spans="2:2" x14ac:dyDescent="0.2">
      <c r="B90" s="61"/>
    </row>
    <row r="91" spans="2:2" x14ac:dyDescent="0.2">
      <c r="B91" s="61"/>
    </row>
    <row r="92" spans="2:2" x14ac:dyDescent="0.2">
      <c r="B92" s="61"/>
    </row>
    <row r="93" spans="2:2" x14ac:dyDescent="0.2">
      <c r="B93" s="61"/>
    </row>
    <row r="94" spans="2:2" x14ac:dyDescent="0.2">
      <c r="B94" s="61"/>
    </row>
    <row r="95" spans="2:2" x14ac:dyDescent="0.2">
      <c r="B95" s="61"/>
    </row>
    <row r="96" spans="2:2" x14ac:dyDescent="0.2">
      <c r="B96" s="61"/>
    </row>
    <row r="97" spans="2:2" x14ac:dyDescent="0.2">
      <c r="B97" s="61"/>
    </row>
    <row r="98" spans="2:2" x14ac:dyDescent="0.2">
      <c r="B98" s="61"/>
    </row>
  </sheetData>
  <mergeCells count="2">
    <mergeCell ref="J3:K3"/>
    <mergeCell ref="B1:K1"/>
  </mergeCells>
  <phoneticPr fontId="3" type="noConversion"/>
  <printOptions gridLinesSet="0"/>
  <pageMargins left="0.74803149606299213" right="0.74803149606299213" top="0.98425196850393704" bottom="0.98425196850393704" header="0.51181102362204722" footer="0.51181102362204722"/>
  <pageSetup paperSize="9" scale="56" orientation="portrait" horizontalDpi="300" verticalDpi="300" r:id="rId1"/>
  <headerFooter alignWithMargins="0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5</vt:i4>
      </vt:variant>
    </vt:vector>
  </HeadingPairs>
  <TitlesOfParts>
    <vt:vector size="7" baseType="lpstr">
      <vt:lpstr>INDEA - kostprijs 1 ton stoom</vt:lpstr>
      <vt:lpstr>stoomtabel</vt:lpstr>
      <vt:lpstr>'INDEA - kostprijs 1 ton stoom'!Afdrukbereik</vt:lpstr>
      <vt:lpstr>stoomtabel!Afdrukbereik</vt:lpstr>
      <vt:lpstr>'INDEA - kostprijs 1 ton stoom'!Afdrukbereik_MI</vt:lpstr>
      <vt:lpstr>stoomtabel!Afdruktitels</vt:lpstr>
      <vt:lpstr>stoomtabel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Beheerder</dc:creator>
  <cp:lastModifiedBy>Gebruiker</cp:lastModifiedBy>
  <cp:lastPrinted>2019-09-16T12:57:14Z</cp:lastPrinted>
  <dcterms:created xsi:type="dcterms:W3CDTF">2009-05-17T14:25:32Z</dcterms:created>
  <dcterms:modified xsi:type="dcterms:W3CDTF">2019-09-16T12:57:42Z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